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FxYwIBoBAwvN02X7wvHzeYUMykkTRLT5mDm4TCve1XjzpmWYnJsXbzuC148m9e3Bp4OG0RD4+5wtNjowtI7apQ==" workbookSaltValue="ruzASAiSwBX3nQv5jgsy5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R13" i="12" s="1"/>
  <c r="AG13" i="8"/>
  <c r="Q13" i="12" s="1"/>
  <c r="AF13" i="8"/>
  <c r="AE13" i="8"/>
  <c r="AD13" i="8"/>
  <c r="AC13" i="8"/>
  <c r="AB13" i="8"/>
  <c r="AA13" i="8"/>
  <c r="Z13" i="8"/>
  <c r="Y13" i="8"/>
  <c r="X13" i="8"/>
  <c r="W13" i="8"/>
  <c r="V13" i="8"/>
  <c r="U13" i="8"/>
  <c r="T13" i="8"/>
  <c r="S13" i="8"/>
  <c r="R13" i="8"/>
  <c r="R19" i="8" s="1"/>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V18" i="21"/>
  <c r="AR13" i="21"/>
  <c r="BF17" i="8"/>
  <c r="B13" i="7"/>
  <c r="E18" i="12"/>
  <c r="ER19" i="8"/>
  <c r="AE13" i="21"/>
  <c r="EL19" i="8"/>
  <c r="BE12" i="21"/>
  <c r="EQ19" i="8"/>
  <c r="EN19" i="8"/>
  <c r="E15" i="3"/>
  <c r="BA13" i="16"/>
  <c r="E17" i="3"/>
  <c r="F16" i="10"/>
  <c r="ES19" i="8"/>
  <c r="G18" i="12"/>
  <c r="C18" i="7"/>
  <c r="W19" i="8"/>
  <c r="EP19" i="8"/>
  <c r="EP19" i="19"/>
  <c r="S13" i="16"/>
  <c r="P13" i="16"/>
  <c r="W13" i="20"/>
  <c r="M18" i="2"/>
  <c r="B12" i="6"/>
  <c r="H13" i="12"/>
  <c r="F13" i="7"/>
  <c r="T13" i="16"/>
  <c r="BG15" i="8"/>
  <c r="BD9" i="8"/>
  <c r="AP13" i="16"/>
  <c r="F11" i="11"/>
  <c r="AQ11" i="11" s="1"/>
  <c r="T18" i="17"/>
  <c r="BF15" i="13"/>
  <c r="BE16" i="13"/>
  <c r="BF16" i="13"/>
  <c r="Z20" i="20"/>
  <c r="H20" i="20"/>
  <c r="G18" i="14"/>
  <c r="AK20" i="20"/>
  <c r="T20" i="20"/>
  <c r="O16" i="11"/>
  <c r="AL19" i="8" l="1"/>
  <c r="AG19" i="8"/>
  <c r="I19" i="8"/>
  <c r="BD12" i="8"/>
  <c r="BE12" i="8"/>
  <c r="AJ19" i="8"/>
  <c r="AE13" i="17"/>
  <c r="E10" i="6"/>
  <c r="AY13" i="8"/>
  <c r="AO12" i="11"/>
  <c r="L11" i="14"/>
  <c r="AP16" i="20"/>
  <c r="BH15" i="16"/>
  <c r="BJ10" i="11"/>
  <c r="U9" i="17"/>
  <c r="U19" i="17" s="1"/>
  <c r="BJ17" i="11"/>
  <c r="BL17" i="11"/>
  <c r="AZ17" i="11"/>
  <c r="BJ11" i="11"/>
  <c r="BL11" i="11"/>
  <c r="T15" i="16"/>
  <c r="BV16" i="16"/>
  <c r="BU9" i="17"/>
  <c r="BU16" i="17"/>
  <c r="T15" i="11"/>
  <c r="BG12" i="11"/>
  <c r="BH10" i="11"/>
  <c r="AQ10" i="21"/>
  <c r="BK16" i="11"/>
  <c r="BG16" i="11"/>
  <c r="BH16" i="11"/>
  <c r="BJ16" i="11"/>
  <c r="L12" i="2"/>
  <c r="BH9" i="16"/>
  <c r="BF10" i="11"/>
  <c r="BK15" i="11"/>
  <c r="Q10" i="21"/>
  <c r="BI17" i="11"/>
  <c r="BM15" i="11"/>
  <c r="BW9" i="20"/>
  <c r="BV15" i="16"/>
  <c r="BU17" i="17"/>
  <c r="BV9" i="16"/>
  <c r="AZ12" i="11"/>
  <c r="T16" i="11"/>
  <c r="Q17" i="17"/>
  <c r="BI9" i="11"/>
  <c r="BH11" i="11"/>
  <c r="T11" i="11"/>
  <c r="AQ12" i="21"/>
  <c r="BL16" i="11"/>
  <c r="AC10" i="11"/>
  <c r="BE15" i="13"/>
  <c r="BV10" i="16"/>
  <c r="BW15" i="20"/>
  <c r="BW16" i="20"/>
  <c r="BW17" i="20"/>
  <c r="BU15" i="17"/>
  <c r="T17" i="16"/>
  <c r="BH17" i="11"/>
  <c r="BG9" i="11"/>
  <c r="R10" i="21"/>
  <c r="R13" i="21" s="1"/>
  <c r="V9" i="11"/>
  <c r="BI10" i="11"/>
  <c r="X9" i="17"/>
  <c r="X11" i="17"/>
  <c r="BK9" i="11"/>
  <c r="BK12" i="11"/>
  <c r="Q17" i="20"/>
  <c r="Q18" i="20" s="1"/>
  <c r="BH15" i="11"/>
  <c r="V15" i="11"/>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BF18" i="13" l="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I20" i="16"/>
  <c r="N20" i="11"/>
  <c r="U20" i="16"/>
  <c r="BA20" i="16"/>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E20" i="17"/>
  <c r="AD20" i="17"/>
  <c r="L20" i="11"/>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<sst xmlns="http://schemas.openxmlformats.org/spreadsheetml/2006/main" count="2094" uniqueCount="913">
  <si>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</si>
  <si>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</si>
  <si>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</si>
  <si>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</si>
  <si>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</si>
  <si>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</si>
  <si>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</si>
  <si>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</si>
  <si>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</si>
  <si>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</si>
  <si>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</si>
  <si>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</si>
  <si>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</si>
  <si>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</si>
  <si>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</si>
  <si>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</si>
  <si>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</si>
  <si>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</si>
  <si>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</si>
  <si>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</si>
  <si>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</si>
  <si>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</si>
  <si>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</si>
  <si>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</si>
  <si>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</si>
  <si>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</si>
  <si>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</si>
  <si>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</si>
  <si>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</si>
  <si>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</si>
  <si>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</si>
  <si>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</si>
  <si>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</si>
  <si>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</si>
  <si>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</si>
  <si>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</si>
  <si>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</si>
  <si>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</si>
  <si>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</si>
  <si>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</si>
  <si>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</si>
  <si>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</si>
  <si>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</si>
  <si>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</si>
  <si>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</si>
  <si>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</si>
  <si>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</si>
  <si>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</si>
  <si>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</si>
  <si>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</si>
  <si>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</si>
  <si>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</si>
  <si>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</si>
  <si>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</si>
  <si>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</si>
  <si>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</si>
  <si>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</si>
  <si>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</si>
  <si>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</si>
  <si>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</si>
  <si>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</si>
  <si>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</si>
  <si>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</si>
  <si>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</si>
  <si>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</si>
  <si>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</si>
  <si>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</si>
  <si>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</si>
  <si>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</si>
  <si>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</si>
  <si>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</si>
  <si>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</si>
  <si>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</si>
  <si>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</si>
  <si>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</si>
  <si>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</si>
  <si>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</si>
  <si>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</si>
  <si>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</si>
  <si>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</si>
  <si>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</si>
  <si>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</si>
  <si>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</si>
  <si>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</si>
  <si>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</si>
  <si>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</si>
  <si>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</si>
  <si>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</si>
  <si>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</si>
  <si>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</si>
  <si>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</si>
  <si>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</si>
  <si>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</si>
  <si>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</si>
  <si>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</si>
  <si>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</si>
  <si>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</si>
  <si>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</si>
  <si>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</si>
  <si>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</si>
  <si>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</si>
  <si>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</si>
  <si>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</si>
  <si>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</si>
  <si>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</si>
  <si>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</si>
  <si>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</si>
  <si>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</si>
  <si>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</si>
  <si>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</si>
  <si>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</si>
  <si>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</si>
  <si>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</si>
  <si>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</si>
  <si>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</si>
  <si>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</si>
  <si>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</si>
  <si>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</si>
  <si>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</si>
  <si>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</si>
  <si>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</si>
  <si>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</si>
  <si>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</si>
  <si>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</si>
  <si>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</si>
  <si>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</si>
  <si>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</si>
  <si>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</si>
  <si>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</si>
  <si>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</si>
  <si>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</si>
  <si>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</si>
  <si>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</si>
  <si>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</si>
  <si>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</si>
  <si>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</si>
  <si>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</si>
  <si>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</si>
  <si>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</si>
  <si>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</si>
  <si>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</si>
  <si>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</si>
  <si>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</si>
  <si>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</si>
  <si>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</si>
  <si>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</si>
  <si>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</si>
  <si>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</si>
  <si>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</si>
  <si>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</si>
  <si>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</si>
  <si>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</si>
  <si>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</si>
  <si>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</si>
  <si>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</si>
  <si>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</si>
  <si>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</si>
  <si>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</si>
  <si>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</si>
  <si>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</si>
  <si>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</si>
  <si>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</si>
  <si>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</si>
  <si>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</si>
  <si>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</si>
  <si>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</si>
  <si>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</si>
  <si>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</si>
  <si>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</si>
  <si>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</si>
  <si>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</si>
  <si>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</si>
  <si>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</si>
  <si>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</si>
  <si>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</si>
  <si>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</si>
  <si>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</si>
  <si>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</si>
  <si>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</si>
  <si>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</si>
  <si>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</si>
  <si>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</si>
  <si>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</si>
  <si>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</si>
  <si>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</si>
  <si>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</si>
  <si>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</si>
  <si>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</si>
  <si>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</si>
  <si>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</si>
  <si>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</si>
  <si>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</si>
  <si>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</si>
  <si>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</si>
  <si>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</si>
  <si>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</si>
  <si>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</si>
  <si>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</si>
  <si>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</si>
  <si>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</si>
  <si>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</si>
  <si>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</si>
  <si>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</si>
  <si>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</si>
  <si>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</si>
  <si>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</si>
  <si>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</si>
  <si>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</si>
  <si>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</si>
  <si>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</si>
  <si>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</si>
  <si>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</si>
  <si>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</si>
  <si>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</si>
  <si>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</si>
  <si>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</si>
  <si>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</si>
  <si>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</si>
  <si>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</si>
  <si>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</si>
  <si>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</si>
  <si>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</si>
  <si>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</si>
  <si>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</si>
  <si>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</si>
  <si>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</si>
  <si>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</si>
  <si>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</si>
  <si>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</si>
  <si>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</si>
  <si>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</si>
  <si>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</si>
  <si>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</si>
  <si>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</si>
  <si>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</si>
  <si>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</si>
  <si>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</si>
  <si>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</si>
  <si>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</si>
  <si>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</si>
  <si>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</si>
  <si>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</si>
  <si>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</si>
  <si>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</si>
  <si>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</si>
  <si>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</si>
  <si>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</si>
  <si>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</si>
  <si>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</si>
  <si>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</si>
  <si>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</si>
  <si>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</si>
  <si>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</si>
  <si>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</si>
  <si>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</si>
  <si>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</si>
  <si>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</si>
  <si>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</si>
  <si>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</si>
  <si>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</si>
  <si>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</si>
  <si>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</si>
  <si>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</si>
  <si>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</si>
  <si>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</si>
  <si>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</si>
  <si>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</si>
  <si>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</si>
  <si>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</si>
  <si>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</si>
  <si>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</si>
  <si>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</si>
  <si>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</si>
  <si>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</si>
  <si>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</si>
  <si>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</si>
  <si>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</si>
  <si>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</si>
  <si>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</si>
  <si>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</si>
  <si>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</si>
  <si>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</si>
  <si>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</si>
  <si>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</si>
  <si>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</si>
  <si>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</si>
  <si>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</si>
  <si>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</si>
  <si>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</si>
  <si>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</si>
  <si>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</si>
  <si>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</si>
  <si>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</si>
  <si>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</si>
  <si>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</si>
  <si>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</si>
  <si>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</si>
  <si>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</si>
  <si>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</si>
  <si>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</si>
  <si>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</si>
  <si>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</si>
  <si>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</si>
  <si>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</si>
  <si>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</si>
  <si>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</si>
  <si>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</si>
  <si>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</si>
  <si>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</si>
  <si>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</si>
  <si>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</si>
  <si>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</si>
  <si>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</si>
  <si>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</si>
  <si>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</si>
  <si>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</si>
  <si>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</si>
  <si>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</si>
  <si>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</si>
  <si>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</si>
  <si>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</si>
  <si>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</si>
  <si>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</si>
  <si>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</si>
  <si>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</si>
  <si>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</si>
  <si>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</si>
  <si>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</si>
  <si>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</si>
  <si>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</si>
  <si>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</si>
  <si>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</si>
  <si>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</si>
  <si>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</si>
  <si>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</si>
  <si>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</si>
  <si>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</si>
  <si>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</si>
  <si>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</si>
  <si>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</si>
  <si>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</si>
  <si>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</si>
  <si>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</si>
  <si>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</si>
  <si>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</si>
  <si>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</si>
  <si>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</si>
  <si>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</si>
  <si>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</si>
  <si>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</si>
  <si>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</si>
  <si>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</si>
  <si>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</si>
  <si>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</si>
  <si>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</si>
  <si>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</si>
  <si>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</si>
  <si>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</si>
  <si>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</si>
  <si>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</si>
  <si>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</si>
  <si>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</si>
  <si>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</si>
  <si>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</si>
  <si>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</si>
  <si>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</si>
  <si>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</si>
  <si>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</si>
  <si>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</si>
  <si>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</si>
  <si>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</si>
  <si>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</si>
  <si>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</si>
  <si>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</si>
  <si>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</si>
  <si>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</si>
  <si>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</si>
  <si>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</si>
  <si>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</si>
  <si>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</si>
  <si>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</si>
  <si>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</si>
  <si>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</si>
  <si>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</si>
  <si>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</si>
  <si>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</si>
  <si>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</si>
  <si>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</si>
  <si>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</si>
  <si>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</si>
  <si>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</si>
  <si>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</si>
  <si>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</si>
  <si>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</si>
  <si>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</si>
  <si>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</si>
  <si>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</si>
  <si>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</si>
  <si>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</si>
  <si>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</si>
  <si>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</si>
  <si>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</si>
  <si>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</si>
  <si>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</si>
  <si>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</si>
  <si>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</si>
  <si>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</si>
  <si>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</si>
  <si>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</si>
  <si>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</si>
  <si>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</si>
  <si>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</si>
  <si>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</si>
  <si>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</si>
  <si>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</si>
  <si>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</si>
  <si>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</si>
  <si>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</si>
  <si>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</si>
  <si>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</si>
  <si>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</si>
  <si>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</si>
  <si>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</si>
  <si>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</si>
  <si>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</si>
  <si>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</si>
  <si>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</si>
  <si>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</si>
  <si>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</si>
  <si>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</si>
  <si>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</si>
  <si>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</si>
  <si>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</si>
  <si>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</si>
  <si>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</si>
  <si>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</si>
  <si>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</si>
  <si>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</si>
  <si>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</si>
  <si>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</si>
  <si>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</si>
  <si>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</si>
  <si>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</si>
  <si>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</si>
  <si>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</si>
  <si>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</si>
  <si>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</si>
  <si>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</si>
  <si>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</si>
  <si>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</si>
  <si>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</si>
  <si>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</si>
  <si>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</si>
  <si>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</si>
  <si>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</si>
  <si>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</si>
  <si>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</si>
  <si>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</si>
  <si>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</si>
  <si>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</si>
  <si>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</si>
  <si>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</si>
  <si>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</si>
  <si>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</si>
  <si>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</si>
  <si>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</si>
  <si>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</si>
  <si>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</si>
  <si>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</si>
  <si>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</si>
  <si>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</si>
  <si>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</si>
  <si>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</si>
  <si>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</si>
  <si>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</si>
  <si>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</si>
  <si>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</si>
  <si>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</si>
  <si>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</si>
  <si>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</si>
  <si>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</si>
  <si>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</si>
  <si>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</si>
  <si>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</si>
  <si>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</si>
  <si>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</si>
  <si>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</si>
  <si>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</si>
  <si>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</si>
  <si>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</si>
  <si>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</si>
  <si>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</si>
  <si>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</si>
  <si>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</si>
  <si>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</si>
  <si>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</si>
  <si>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</si>
  <si>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</si>
  <si>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</si>
  <si>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</si>
  <si>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</si>
  <si>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</si>
  <si>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</si>
  <si>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</si>
  <si>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</si>
  <si>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</si>
  <si>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</si>
  <si>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</si>
  <si>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</si>
  <si>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</si>
  <si>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</si>
  <si>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</si>
  <si>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</si>
  <si>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</si>
  <si>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</si>
  <si>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</si>
  <si>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</si>
  <si>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</si>
  <si>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</si>
  <si>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</si>
  <si>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</si>
  <si>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</si>
  <si>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</si>
  <si>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</si>
  <si>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</si>
  <si>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</si>
  <si>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</si>
  <si>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</si>
  <si>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</si>
  <si>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</si>
  <si>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</si>
  <si>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</si>
  <si>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</si>
  <si>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</si>
  <si>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</si>
  <si>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</si>
  <si>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</si>
  <si>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</si>
  <si>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</si>
  <si>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</si>
  <si>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</si>
  <si>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</si>
  <si>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</si>
  <si>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</si>
  <si>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</si>
  <si>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</si>
  <si>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</si>
  <si>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</si>
  <si>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</si>
  <si>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</si>
  <si>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</si>
  <si>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</si>
  <si>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</si>
  <si>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</si>
  <si>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</si>
  <si>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</si>
  <si>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</si>
  <si>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</si>
  <si>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</si>
  <si>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</si>
  <si>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</si>
  <si>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</si>
  <si>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</si>
  <si>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</si>
  <si>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</si>
  <si>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</si>
  <si>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</si>
  <si>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</si>
  <si>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</si>
  <si>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</si>
  <si>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</si>
  <si>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</si>
  <si>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</si>
  <si>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</si>
  <si>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</si>
  <si>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</si>
  <si>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</si>
  <si>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</si>
  <si>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</si>
  <si>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</si>
  <si>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</si>
  <si>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</si>
  <si>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</si>
  <si>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</si>
  <si>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</si>
  <si>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</si>
  <si>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</si>
  <si>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</si>
  <si>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</si>
  <si>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</si>
  <si>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</si>
  <si>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</si>
  <si>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</si>
  <si>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</si>
  <si>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</si>
  <si>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</si>
  <si>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</si>
  <si>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</si>
  <si>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</si>
  <si>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</si>
  <si>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</si>
  <si>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</si>
  <si>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</si>
  <si>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</si>
  <si>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</si>
  <si>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</si>
  <si>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</si>
  <si>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</si>
  <si>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</si>
  <si>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</si>
  <si>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</si>
  <si>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</si>
  <si>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</si>
  <si>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</si>
  <si>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</si>
  <si>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</si>
  <si>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</si>
  <si>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</si>
  <si>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</si>
  <si>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</si>
  <si>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</si>
  <si>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</si>
  <si>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</si>
  <si>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</si>
  <si>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</si>
  <si>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</si>
  <si>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</si>
  <si>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</si>
  <si>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</si>
  <si>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</si>
  <si>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</si>
  <si>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</si>
  <si>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</si>
  <si>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</si>
  <si>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</si>
  <si>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</si>
  <si>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</si>
  <si>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</si>
  <si>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</si>
  <si>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</si>
  <si>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</si>
  <si>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</si>
  <si>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</si>
  <si>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</si>
  <si>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</si>
  <si>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</si>
  <si>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</si>
  <si>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</si>
  <si>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</si>
  <si>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</si>
  <si>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</si>
  <si>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</si>
  <si>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</si>
  <si>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</si>
  <si>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</si>
  <si>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</si>
  <si>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</si>
  <si>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</si>
  <si>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</si>
  <si>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</si>
  <si>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</si>
  <si>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</si>
  <si>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</si>
  <si>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</si>
  <si>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</si>
  <si>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</si>
  <si>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</si>
  <si>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</si>
  <si>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</si>
  <si>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</si>
  <si>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</si>
  <si>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</si>
  <si>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</si>
  <si>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</si>
  <si>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</si>
  <si>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</si>
  <si>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</si>
  <si>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</si>
  <si>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</si>
  <si>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</si>
  <si>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</si>
  <si>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</si>
  <si>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</si>
  <si>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</si>
  <si>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</si>
  <si>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</si>
  <si>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</si>
  <si>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</si>
  <si>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</si>
  <si>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</si>
  <si>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</si>
  <si>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</si>
  <si>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</si>
  <si>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</si>
  <si>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</si>
  <si>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</si>
  <si>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</si>
  <si>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</si>
  <si>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</si>
  <si>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</si>
  <si>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</si>
  <si>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</si>
  <si>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</si>
  <si>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</si>
  <si>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</si>
  <si>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</si>
  <si>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</si>
  <si>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</si>
  <si>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</si>
  <si>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</si>
  <si>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</si>
  <si>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</si>
  <si>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</si>
  <si>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</si>
  <si>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</si>
  <si>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</si>
  <si>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</si>
  <si>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</si>
  <si>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</si>
  <si>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</si>
  <si>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</si>
  <si>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</si>
  <si>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</si>
  <si>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</si>
  <si>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</si>
  <si>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</si>
  <si>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</si>
  <si>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</si>
  <si>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</si>
  <si>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</si>
  <si>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</si>
  <si>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</si>
  <si>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</si>
  <si>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</si>
  <si>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</si>
  <si>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</si>
  <si>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</si>
  <si>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</si>
  <si>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</si>
  <si>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</si>
  <si>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</si>
  <si>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</si>
  <si>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</si>
  <si>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</si>
  <si>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</si>
  <si>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</si>
  <si>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</si>
  <si>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</si>
  <si>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</si>
  <si>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</si>
  <si>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</si>
  <si>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</si>
  <si>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</si>
  <si>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</si>
  <si>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</si>
  <si>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</si>
  <si>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</si>
  <si>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</si>
  <si>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</si>
  <si>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</si>
  <si>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</si>
  <si>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</si>
  <si>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</si>
  <si>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</si>
  <si>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</si>
  <si>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</si>
  <si>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</si>
  <si>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</si>
  <si>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</si>
  <si>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</si>
  <si>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</si>
  <si>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</si>
  <si>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</si>
  <si>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</si>
  <si>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</si>
  <si>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</si>
  <si>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</si>
  <si>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</si>
  <si>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</si>
  <si>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</si>
  <si>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</si>
  <si>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</si>
  <si>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</si>
  <si>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</si>
  <si>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</si>
  <si>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</si>
  <si>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</si>
  <si>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</si>
  <si>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</si>
  <si>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</si>
  <si>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</si>
  <si>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</si>
  <si>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</si>
  <si>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</si>
  <si>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</si>
  <si>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</si>
  <si>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</si>
  <si>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</si>
  <si>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</si>
  <si>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</si>
  <si>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</si>
  <si>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</si>
  <si>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</si>
  <si>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</si>
  <si>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</si>
  <si>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</si>
  <si>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</si>
  <si>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</si>
  <si>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</si>
  <si>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</si>
  <si>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</si>
  <si>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</si>
  <si>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</si>
  <si>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</si>
  <si>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</si>
  <si>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</si>
  <si>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</si>
  <si>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</si>
  <si>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</si>
  <si>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</si>
  <si>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</si>
  <si>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</si>
  <si>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</si>
  <si>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</si>
  <si>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</si>
  <si>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</si>
  <si>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</si>
  <si>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</si>
  <si>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</si>
  <si>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</si>
  <si>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</si>
  <si>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</si>
  <si>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</si>
  <si>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</si>
  <si>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</si>
  <si>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</si>
  <si>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</si>
  <si>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</si>
  <si>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</si>
  <si>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</si>
  <si>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</si>
  <si>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</si>
  <si>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</si>
  <si>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</si>
  <si>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</si>
  <si>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</si>
  <si>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</si>
  <si>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</si>
  <si>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</si>
  <si>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</si>
  <si>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</si>
  <si>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</si>
  <si>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</si>
  <si>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</si>
  <si>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</si>
  <si>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</si>
  <si>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</si>
  <si>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</si>
  <si>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</si>
  <si>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</si>
  <si>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</si>
  <si>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</si>
  <si>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</si>
  <si>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</si>
  <si>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</si>
  <si>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</si>
  <si>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</si>
  <si>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</si>
  <si>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</si>
  <si>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</si>
  <si>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</si>
  <si>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</si>
  <si>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</si>
  <si>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</si>
  <si>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</si>
  <si>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</si>
  <si>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</si>
  <si>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</si>
  <si>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</si>
  <si>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</si>
  <si>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</si>
  <si>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</si>
  <si>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</si>
  <si>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</si>
  <si>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</si>
  <si>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</si>
  <si>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</si>
  <si>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</si>
  <si>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</si>
  <si>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</si>
  <si>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</si>
  <si>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</si>
  <si>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</si>
  <si>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</si>
  <si>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</si>
  <si>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</si>
  <si>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</si>
  <si>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</si>
  <si>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</si>
  <si>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</si>
  <si>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</si>
  <si>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</si>
  <si>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</si>
  <si>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</si>
  <si>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</si>
  <si>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</si>
  <si>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</si>
  <si>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</si>
  <si>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</si>
  <si>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LA RIOJA</t>
  </si>
  <si>
    <t>Provincias</t>
  </si>
  <si>
    <t>Resumenes por Partidos Judiciales</t>
  </si>
  <si>
    <t>CALAHORRA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</si>
</sst>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9XtusXHa2bCzeVyxzIWoQF7msMMr5lvoU80RpSL43dvJBZw/zvObI8tPrfZbBLA7BFKvxHLj8+7h3DVGIJeVA==" saltValue="robE7836rOh8wtr3fsJo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LA RIOJA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63</v>
      </c>
      <c r="D10" s="225">
        <f>IF(ISNUMBER(Datos!I10),Datos!I10," - ")</f>
        <v>63</v>
      </c>
      <c r="E10" s="226">
        <f>IF(ISNUMBER(Datos!J10),Datos!J10," - ")</f>
        <v>9</v>
      </c>
      <c r="F10" s="226">
        <f>IF(ISNUMBER(Datos!K10),Datos!K10," - ")</f>
        <v>20</v>
      </c>
      <c r="G10" s="1034" t="str">
        <f>IF(Datos!E10&lt;&gt;"",Datos!E10,Datos!D10)</f>
        <v>37</v>
      </c>
      <c r="H10" s="227">
        <f>IF(ISNUMBER(Datos!L10),Datos!L10," - ")</f>
        <v>52</v>
      </c>
      <c r="I10" s="1044" t="str">
        <f>IF(ISNUMBER(Datos!AS10/Datos!BM10),Datos!AS10/Datos!BM10," - ")</f>
        <v xml:space="preserve"> - </v>
      </c>
      <c r="J10" s="1045">
        <f>IF(ISNUMBER(Datos!BY10/Datos!CN10),Datos!BY10/Datos!CN10," - ")</f>
        <v>0</v>
      </c>
      <c r="K10" s="230">
        <f t="shared" ref="K10:K12" si="1">IF(ISNUMBER((E10-F10)/C10),(E10-F10)/C10," - ")</f>
        <v>-0.17460317460317459</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66.301960784313721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63</v>
      </c>
      <c r="D13" s="1049">
        <f>SUBTOTAL(9,D9:D12)</f>
        <v>63</v>
      </c>
      <c r="E13" s="1050">
        <f>SUBTOTAL(9,E9:E12)</f>
        <v>9</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2088</v>
      </c>
      <c r="D16" s="225">
        <f>IF(ISNUMBER(IF(D_I="SI",Datos!I16,Datos!I16+Datos!AC16)),IF(D_I="SI",Datos!I16,Datos!I16+Datos!AC16)," - ")</f>
        <v>2121</v>
      </c>
      <c r="E16" s="226">
        <f>IF(ISNUMBER(IF(D_I="SI",Datos!J16,Datos!J16+Datos!AD16)),IF(D_I="SI",Datos!J16,Datos!J16+Datos!AD16)," - ")</f>
        <v>604</v>
      </c>
      <c r="F16" s="226">
        <f>IF(ISNUMBER(IF(D_I="SI",Datos!K16,Datos!K16+Datos!AE16)),IF(D_I="SI",Datos!K16,Datos!K16+Datos!AE16)," - ")</f>
        <v>593</v>
      </c>
      <c r="G16" s="1034" t="str">
        <f>IF(Datos!E16&lt;&gt;"",Datos!E16,Datos!D16)</f>
        <v>04</v>
      </c>
      <c r="H16" s="227">
        <f>IF(ISNUMBER(IF(D_I="SI",Datos!L16,Datos!L16+Datos!AF16)),IF(D_I="SI",Datos!L16,Datos!L16+Datos!AF16)," - ")</f>
        <v>2099</v>
      </c>
      <c r="I16" s="1044" t="str">
        <f>IF(ISNUMBER(Datos!AS16/Datos!BM16),Datos!AS16/Datos!BM16," - ")</f>
        <v xml:space="preserve"> - </v>
      </c>
      <c r="J16" s="1045">
        <f>IF(ISNUMBER(Datos!BY16/Datos!CN16),Datos!BY16/Datos!CN16," - ")</f>
        <v>0</v>
      </c>
      <c r="K16" s="230">
        <f t="shared" si="3"/>
        <v>5.2681992337164753E-3</v>
      </c>
      <c r="L16" s="1025">
        <f>IF(ISNUMBER(NºAsuntos!I16/NºAsuntos!G16),(NºAsuntos!I16/NºAsuntos!G16)*11," - ")</f>
        <v>38.935919055649236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195</v>
      </c>
      <c r="D17" s="225">
        <f>IF(ISNUMBER(IF(D_I="SI",Datos!I17,Datos!I17+Datos!AC17)),IF(D_I="SI",Datos!I17,Datos!I17+Datos!AC17)," - ")</f>
        <v>230</v>
      </c>
      <c r="E17" s="226">
        <f>IF(ISNUMBER(IF(D_I="SI",Datos!J17,Datos!J17+Datos!AD17)),IF(D_I="SI",Datos!J17,Datos!J17+Datos!AD17)," - ")</f>
        <v>57</v>
      </c>
      <c r="F17" s="226">
        <f>IF(ISNUMBER(IF(D_I="SI",Datos!K17,Datos!K17+Datos!AE17)),IF(D_I="SI",Datos!K17,Datos!K17+Datos!AE17)," - ")</f>
        <v>84</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-0.13846153846153847</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2283</v>
      </c>
      <c r="D18" s="1049">
        <f>SUBTOTAL(9,D15:D17)</f>
        <v>2351</v>
      </c>
      <c r="E18" s="1050">
        <f>SUBTOTAL(9,E15:E17)</f>
        <v>661</v>
      </c>
      <c r="F18" s="1050">
        <f>SUBTOTAL(9,F15:F17)</f>
        <v>677</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2346</v>
      </c>
      <c r="D19" s="1071">
        <f>SUBTOTAL(9,D9:D18)</f>
        <v>2414</v>
      </c>
      <c r="E19" s="1072">
        <f>SUBTOTAL(9,E9:E18)</f>
        <v>670</v>
      </c>
      <c r="F19" s="1072">
        <f>SUBTOTAL(9,F9:F18)</f>
        <v>697</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U2SNOQUILMq56NN+5hrt7KW/jmzrx5kAWuehYHKB0SAgrTleKGNU01OVJhw/86QD2QcJYJNDraKW/NJYo9dxZQ==" saltValue="kqnZ5Ts7bJUVx2mmQUQuW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vc0JRKn3le2hkjXdy6ls7DiI1ffRNZY402XkF1CcZcSHeDzEnoOWNHEPtUc6fwwUEgsQI/0x0GRK63Wwe3yQA==" saltValue="OsgVKGLkwaTPZIAE2K7Qm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63</v>
      </c>
      <c r="J10" s="181">
        <v>9</v>
      </c>
      <c r="K10" s="181">
        <v>20</v>
      </c>
      <c r="L10" s="181">
        <v>52</v>
      </c>
      <c r="M10" s="181">
        <v>16</v>
      </c>
      <c r="N10" s="181">
        <v>0</v>
      </c>
      <c r="O10" s="181">
        <v>0</v>
      </c>
      <c r="P10" s="181">
        <v>3</v>
      </c>
      <c r="Q10" s="181">
        <v>0</v>
      </c>
      <c r="R10" s="181">
        <v>25</v>
      </c>
      <c r="S10" s="181">
        <v>38</v>
      </c>
      <c r="T10" s="181">
        <v>10</v>
      </c>
      <c r="U10" s="181">
        <v>1</v>
      </c>
      <c r="V10" s="181">
        <v>47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38</v>
      </c>
      <c r="AZ10" s="129">
        <f t="shared" si="0"/>
        <v>10</v>
      </c>
      <c r="BA10" s="129">
        <f t="shared" si="0"/>
        <v>1</v>
      </c>
      <c r="BB10" s="129">
        <f t="shared" si="0"/>
        <v>47</v>
      </c>
      <c r="BC10" s="125">
        <f t="shared" si="0"/>
        <v>0</v>
      </c>
      <c r="BD10" s="126">
        <f>IF(ISNUMBER(BA10/AZ10),BA10/AZ10," - ")</f>
        <v>0.1</v>
      </c>
      <c r="BE10" s="127">
        <f>IF(ISNUMBER(BB10/BA10),BB10/BA10, " - ")</f>
        <v>47</v>
      </c>
      <c r="BF10" s="127">
        <f>IF(ISNUMBER(BC10/BA10),BC10/BA10, " - ")</f>
        <v>0</v>
      </c>
      <c r="BG10" s="196">
        <f>IF(ISNUMBER((AY10+AZ10)/BA10),(AY10+AZ10)/BA10," - ")</f>
        <v>48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2950</v>
      </c>
      <c r="J12" s="183">
        <v>552</v>
      </c>
      <c r="K12" s="183">
        <v>492</v>
      </c>
      <c r="L12" s="183">
        <v>3008</v>
      </c>
      <c r="M12" s="183">
        <v>125</v>
      </c>
      <c r="N12" s="183">
        <v>166</v>
      </c>
      <c r="O12" s="181">
        <v>238</v>
      </c>
      <c r="P12" s="183">
        <v>105</v>
      </c>
      <c r="Q12" s="183">
        <v>28</v>
      </c>
      <c r="R12" s="183">
        <v>3054</v>
      </c>
      <c r="S12" s="183">
        <v>1720</v>
      </c>
      <c r="T12" s="183">
        <v>503</v>
      </c>
      <c r="U12" s="183">
        <v>124</v>
      </c>
      <c r="V12" s="183">
        <v>2099</v>
      </c>
      <c r="W12" s="183">
        <v>40</v>
      </c>
      <c r="X12" s="189">
        <v>41</v>
      </c>
      <c r="Y12" s="191">
        <v>58</v>
      </c>
      <c r="Z12" s="181">
        <v>26</v>
      </c>
      <c r="AA12" s="181">
        <v>18</v>
      </c>
      <c r="AB12" s="181">
        <v>66</v>
      </c>
      <c r="AC12" s="183">
        <v>0</v>
      </c>
      <c r="AD12" s="183">
        <v>0</v>
      </c>
      <c r="AE12" s="183">
        <v>0</v>
      </c>
      <c r="AF12" s="189">
        <v>0</v>
      </c>
      <c r="AG12" s="202">
        <v>47</v>
      </c>
      <c r="AH12" s="183">
        <v>19</v>
      </c>
      <c r="AI12" s="183">
        <v>12</v>
      </c>
      <c r="AJ12" s="203">
        <v>54</v>
      </c>
      <c r="AK12" s="182">
        <v>0</v>
      </c>
      <c r="AL12" s="183">
        <v>0</v>
      </c>
      <c r="AM12" s="183">
        <v>0</v>
      </c>
      <c r="AN12" s="189">
        <v>0</v>
      </c>
      <c r="AO12" s="259">
        <v>3</v>
      </c>
      <c r="AP12" s="155">
        <v>3</v>
      </c>
      <c r="AQ12" s="155">
        <v>3</v>
      </c>
      <c r="AR12" s="154">
        <v>3</v>
      </c>
      <c r="AS12" s="340" t="s">
        <v>802</v>
      </c>
      <c r="AT12" s="203"/>
      <c r="AU12" s="202"/>
      <c r="AV12" s="203"/>
      <c r="AW12" s="202"/>
      <c r="AX12" s="203"/>
      <c r="AY12" s="126">
        <f t="shared" si="1"/>
        <v>1767</v>
      </c>
      <c r="AZ12" s="127">
        <f t="shared" si="1"/>
        <v>522</v>
      </c>
      <c r="BA12" s="127">
        <f t="shared" si="1"/>
        <v>136</v>
      </c>
      <c r="BB12" s="127">
        <f t="shared" si="1"/>
        <v>2153</v>
      </c>
      <c r="BC12" s="125">
        <f>IF(ISNUMBER(X12),X12," - ")</f>
        <v>41</v>
      </c>
      <c r="BD12" s="126">
        <f t="shared" si="2"/>
        <v>0.26053639846743293</v>
      </c>
      <c r="BE12" s="127">
        <f t="shared" si="3"/>
        <v>15.830882352941176</v>
      </c>
      <c r="BF12" s="127">
        <f t="shared" si="4"/>
        <v>0.3014705882352941</v>
      </c>
      <c r="BG12" s="196">
        <f t="shared" si="5"/>
        <v>16.830882352941178</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3013</v>
      </c>
      <c r="J13" s="184">
        <f t="shared" si="6"/>
        <v>561</v>
      </c>
      <c r="K13" s="184">
        <f t="shared" si="6"/>
        <v>512</v>
      </c>
      <c r="L13" s="184">
        <f t="shared" si="6"/>
        <v>3060</v>
      </c>
      <c r="M13" s="184">
        <f t="shared" si="6"/>
        <v>141</v>
      </c>
      <c r="N13" s="184">
        <f t="shared" si="6"/>
        <v>166</v>
      </c>
      <c r="O13" s="184">
        <f t="shared" si="6"/>
        <v>238</v>
      </c>
      <c r="P13" s="184">
        <f t="shared" si="6"/>
        <v>108</v>
      </c>
      <c r="Q13" s="184">
        <f t="shared" si="6"/>
        <v>28</v>
      </c>
      <c r="R13" s="184">
        <f t="shared" si="6"/>
        <v>3079</v>
      </c>
      <c r="S13" s="184">
        <f t="shared" si="6"/>
        <v>1758</v>
      </c>
      <c r="T13" s="184">
        <f t="shared" si="6"/>
        <v>513</v>
      </c>
      <c r="U13" s="184">
        <f t="shared" si="6"/>
        <v>125</v>
      </c>
      <c r="V13" s="184">
        <f t="shared" si="6"/>
        <v>2146</v>
      </c>
      <c r="W13" s="184">
        <f t="shared" si="6"/>
        <v>40</v>
      </c>
      <c r="X13" s="184">
        <f t="shared" si="6"/>
        <v>41</v>
      </c>
      <c r="Y13" s="184">
        <f t="shared" si="6"/>
        <v>58</v>
      </c>
      <c r="Z13" s="184">
        <f t="shared" si="6"/>
        <v>26</v>
      </c>
      <c r="AA13" s="184">
        <f t="shared" si="6"/>
        <v>18</v>
      </c>
      <c r="AB13" s="184">
        <f t="shared" si="6"/>
        <v>66</v>
      </c>
      <c r="AC13" s="184">
        <f t="shared" si="6"/>
        <v>0</v>
      </c>
      <c r="AD13" s="184">
        <f t="shared" si="6"/>
        <v>0</v>
      </c>
      <c r="AE13" s="184">
        <f t="shared" si="6"/>
        <v>0</v>
      </c>
      <c r="AF13" s="184">
        <f>SUBTOTAL(9,AF9:AF12)</f>
        <v>0</v>
      </c>
      <c r="AG13" s="184">
        <f t="shared" ref="AG13:AT13" si="7">SUBTOTAL(9,AG8:AG12)</f>
        <v>47</v>
      </c>
      <c r="AH13" s="184">
        <f t="shared" si="7"/>
        <v>19</v>
      </c>
      <c r="AI13" s="184">
        <f t="shared" si="7"/>
        <v>12</v>
      </c>
      <c r="AJ13" s="184">
        <f t="shared" si="7"/>
        <v>54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1805</v>
      </c>
      <c r="AZ13" s="184">
        <f>SUBTOTAL(9,AZ8:AZ12)</f>
        <v>532</v>
      </c>
      <c r="BA13" s="184">
        <f>SUBTOTAL(9,BA8:BA12)</f>
        <v>137</v>
      </c>
      <c r="BB13" s="184">
        <f>SUBTOTAL(9,BB8:BB12)</f>
        <v>2200</v>
      </c>
      <c r="BC13" s="184">
        <f>SUBTOTAL(9,BC8:BC12)</f>
        <v>41</v>
      </c>
      <c r="BD13" s="205">
        <f>IF(ISNUMBER(BA13/AZ13),BA13/AZ13," - ")</f>
        <v>0.2575187969924812</v>
      </c>
      <c r="BE13" s="206">
        <f>IF(ISNUMBER(BB13/BA13),BB13/BA13, " - ")</f>
        <v>16.058394160583941</v>
      </c>
      <c r="BF13" s="206">
        <f>IF(ISNUMBER(BC13/BA13),BC13/BA13, " - ")</f>
        <v>0.29927007299270075</v>
      </c>
      <c r="BG13" s="207">
        <f>IF(ISNUMBER((AY13+AZ13)/BA13),(AY13+AZ13)/BA13," - ")</f>
        <v>17.058394160583941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2121</v>
      </c>
      <c r="J16" s="183">
        <v>604</v>
      </c>
      <c r="K16" s="183">
        <v>593</v>
      </c>
      <c r="L16" s="183">
        <v>2099</v>
      </c>
      <c r="M16" s="183">
        <v>89</v>
      </c>
      <c r="N16" s="183">
        <v>334</v>
      </c>
      <c r="O16" s="181">
        <v>1</v>
      </c>
      <c r="P16" s="183">
        <v>9</v>
      </c>
      <c r="Q16" s="183">
        <v>12</v>
      </c>
      <c r="R16" s="183">
        <v>171</v>
      </c>
      <c r="S16" s="183">
        <v>1182</v>
      </c>
      <c r="T16" s="183">
        <v>589</v>
      </c>
      <c r="U16" s="183">
        <v>389</v>
      </c>
      <c r="V16" s="183">
        <v>1388</v>
      </c>
      <c r="W16" s="183">
        <v>61</v>
      </c>
      <c r="X16" s="189">
        <v>146</v>
      </c>
      <c r="Y16" s="202">
        <v>0</v>
      </c>
      <c r="Z16" s="183">
        <v>0</v>
      </c>
      <c r="AA16" s="183">
        <v>0</v>
      </c>
      <c r="AB16" s="183">
        <v>0</v>
      </c>
      <c r="AC16" s="183">
        <v>0</v>
      </c>
      <c r="AD16" s="183">
        <v>9</v>
      </c>
      <c r="AE16" s="183">
        <v>9</v>
      </c>
      <c r="AF16" s="189">
        <v>0</v>
      </c>
      <c r="AG16" s="202">
        <v>0</v>
      </c>
      <c r="AH16" s="183">
        <v>0</v>
      </c>
      <c r="AI16" s="183">
        <v>0</v>
      </c>
      <c r="AJ16" s="203">
        <v>0</v>
      </c>
      <c r="AK16" s="182">
        <v>0</v>
      </c>
      <c r="AL16" s="183">
        <v>8</v>
      </c>
      <c r="AM16" s="183">
        <v>8</v>
      </c>
      <c r="AN16" s="189">
        <v>0</v>
      </c>
      <c r="AO16" s="259">
        <v>3</v>
      </c>
      <c r="AP16" s="155">
        <v>3</v>
      </c>
      <c r="AQ16" s="155">
        <v>3</v>
      </c>
      <c r="AR16" s="155">
        <v>3</v>
      </c>
      <c r="AS16" s="340" t="s">
        <v>487</v>
      </c>
      <c r="AT16" s="203"/>
      <c r="AU16" s="202"/>
      <c r="AV16" s="203"/>
      <c r="AW16" s="202"/>
      <c r="AX16" s="203"/>
      <c r="AY16" s="126">
        <f t="shared" si="9"/>
        <v>1182</v>
      </c>
      <c r="AZ16" s="127">
        <f t="shared" si="9"/>
        <v>589</v>
      </c>
      <c r="BA16" s="127">
        <f t="shared" si="9"/>
        <v>389</v>
      </c>
      <c r="BB16" s="127">
        <f t="shared" si="9"/>
        <v>1388</v>
      </c>
      <c r="BC16" s="125">
        <f>IF(ISNUMBER(W16),W16," - ")</f>
        <v>61</v>
      </c>
      <c r="BD16" s="126">
        <f t="shared" ref="BD16" si="11">IF(ISNUMBER(BA16/AZ16),BA16/AZ16," - ")</f>
        <v>0.6604414261460102</v>
      </c>
      <c r="BE16" s="127">
        <f t="shared" ref="BE16" si="12">IF(ISNUMBER(BB16/BA16),BB16/BA16, " - ")</f>
        <v>3.5681233933161955</v>
      </c>
      <c r="BF16" s="127">
        <f t="shared" ref="BF16" si="13">IF(ISNUMBER(BC16/BA16),BC16/BA16, " - ")</f>
        <v>0.15681233933161953</v>
      </c>
      <c r="BG16" s="196">
        <f t="shared" si="10"/>
        <v>4.5526992287917736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230</v>
      </c>
      <c r="J17" s="183">
        <v>57</v>
      </c>
      <c r="K17" s="183">
        <v>84</v>
      </c>
      <c r="L17" s="183">
        <v>168</v>
      </c>
      <c r="M17" s="183">
        <v>10</v>
      </c>
      <c r="N17" s="183">
        <v>43</v>
      </c>
      <c r="O17" s="183">
        <v>0</v>
      </c>
      <c r="P17" s="183">
        <v>0</v>
      </c>
      <c r="Q17" s="183">
        <v>5</v>
      </c>
      <c r="R17" s="183">
        <v>2</v>
      </c>
      <c r="S17" s="183">
        <v>152</v>
      </c>
      <c r="T17" s="183">
        <v>109</v>
      </c>
      <c r="U17" s="183">
        <v>82</v>
      </c>
      <c r="V17" s="183">
        <v>179</v>
      </c>
      <c r="W17" s="183">
        <v>12</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152</v>
      </c>
      <c r="AZ17" s="129">
        <f t="shared" si="14"/>
        <v>109</v>
      </c>
      <c r="BA17" s="129">
        <f t="shared" si="14"/>
        <v>82</v>
      </c>
      <c r="BB17" s="129">
        <f t="shared" si="14"/>
        <v>179</v>
      </c>
      <c r="BC17" s="125">
        <f>IF(ISNUMBER(W17),W17," - ")</f>
        <v>12</v>
      </c>
      <c r="BD17" s="126">
        <f>IF(ISNUMBER(BA17/AZ17),BA17/AZ17," - ")</f>
        <v>0.75229357798165142</v>
      </c>
      <c r="BE17" s="127">
        <f>IF(ISNUMBER(BB17/BA17),BB17/BA17, " - ")</f>
        <v>2.1829268292682928</v>
      </c>
      <c r="BF17" s="127">
        <f>IF(ISNUMBER(BC17/BA17),BC17/BA17, " - ")</f>
        <v>0.14634146341463414</v>
      </c>
      <c r="BG17" s="196">
        <f>IF(ISNUMBER((AY17+AZ17)/BA17),(AY17+AZ17)/BA17," - ")</f>
        <v>3.1829268292682928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2351</v>
      </c>
      <c r="J18" s="184">
        <f t="shared" si="15"/>
        <v>661</v>
      </c>
      <c r="K18" s="184">
        <f t="shared" si="15"/>
        <v>677</v>
      </c>
      <c r="L18" s="184">
        <f t="shared" si="15"/>
        <v>2267</v>
      </c>
      <c r="M18" s="184">
        <f t="shared" si="15"/>
        <v>99</v>
      </c>
      <c r="N18" s="184">
        <f t="shared" si="15"/>
        <v>377</v>
      </c>
      <c r="O18" s="184">
        <f t="shared" si="15"/>
        <v>1</v>
      </c>
      <c r="P18" s="184">
        <f t="shared" si="15"/>
        <v>9</v>
      </c>
      <c r="Q18" s="184">
        <f t="shared" si="15"/>
        <v>17</v>
      </c>
      <c r="R18" s="184">
        <f t="shared" si="15"/>
        <v>173</v>
      </c>
      <c r="S18" s="184">
        <f t="shared" si="15"/>
        <v>1334</v>
      </c>
      <c r="T18" s="184">
        <f t="shared" si="15"/>
        <v>698</v>
      </c>
      <c r="U18" s="184">
        <f t="shared" si="15"/>
        <v>471</v>
      </c>
      <c r="V18" s="184">
        <f t="shared" si="15"/>
        <v>1567</v>
      </c>
      <c r="W18" s="184">
        <f t="shared" si="15"/>
        <v>73</v>
      </c>
      <c r="X18" s="184">
        <f t="shared" si="15"/>
        <v>199</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8</v>
      </c>
      <c r="AM18" s="184">
        <f t="shared" si="15"/>
        <v>8</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1334</v>
      </c>
      <c r="AZ18" s="184">
        <f>SUBTOTAL(9,AZ14:AZ17)</f>
        <v>698</v>
      </c>
      <c r="BA18" s="184">
        <f>SUBTOTAL(9,BA14:BA17)</f>
        <v>471</v>
      </c>
      <c r="BB18" s="184">
        <f>SUBTOTAL(9,BB14:BB17)</f>
        <v>1567</v>
      </c>
      <c r="BC18" s="184">
        <f>SUBTOTAL(9,BC14:BC17)</f>
        <v>73</v>
      </c>
      <c r="BD18" s="205">
        <f>IF(ISNUMBER(BA18/AZ18),BA18/AZ18," - ")</f>
        <v>0.67478510028653294</v>
      </c>
      <c r="BE18" s="206">
        <f>IF(ISNUMBER(BB18/BA18),BB18/BA18, " - ")</f>
        <v>3.3269639065817409</v>
      </c>
      <c r="BF18" s="206">
        <f>IF(ISNUMBER(BC18/BA18),BC18/BA18, " - ")</f>
        <v>0.15498938428874734</v>
      </c>
      <c r="BG18" s="207">
        <f>IF(ISNUMBER((AY18+AZ18)/BA18),(AY18+AZ18)/BA18," - ")</f>
        <v>4.3142250530785562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5364</v>
      </c>
      <c r="J19" s="134">
        <f t="shared" si="18"/>
        <v>1222</v>
      </c>
      <c r="K19" s="134">
        <f t="shared" si="18"/>
        <v>1189</v>
      </c>
      <c r="L19" s="134">
        <f t="shared" si="18"/>
        <v>5327</v>
      </c>
      <c r="M19" s="134">
        <f t="shared" si="18"/>
        <v>240</v>
      </c>
      <c r="N19" s="134">
        <f t="shared" si="18"/>
        <v>543</v>
      </c>
      <c r="O19" s="134">
        <f t="shared" si="18"/>
        <v>239</v>
      </c>
      <c r="P19" s="134">
        <f t="shared" si="18"/>
        <v>117</v>
      </c>
      <c r="Q19" s="134">
        <f t="shared" si="18"/>
        <v>45</v>
      </c>
      <c r="R19" s="134">
        <f t="shared" si="18"/>
        <v>3252</v>
      </c>
      <c r="S19" s="134">
        <f t="shared" si="18"/>
        <v>3092</v>
      </c>
      <c r="T19" s="134">
        <f t="shared" si="18"/>
        <v>1211</v>
      </c>
      <c r="U19" s="134">
        <f t="shared" si="18"/>
        <v>596</v>
      </c>
      <c r="V19" s="134">
        <f t="shared" si="18"/>
        <v>3713</v>
      </c>
      <c r="W19" s="134">
        <f t="shared" si="18"/>
        <v>113</v>
      </c>
      <c r="X19" s="134">
        <f t="shared" si="18"/>
        <v>240</v>
      </c>
      <c r="Y19" s="134">
        <f t="shared" si="18"/>
        <v>58</v>
      </c>
      <c r="Z19" s="134">
        <f t="shared" si="18"/>
        <v>26</v>
      </c>
      <c r="AA19" s="134">
        <f t="shared" si="18"/>
        <v>18</v>
      </c>
      <c r="AB19" s="134">
        <f t="shared" si="18"/>
        <v>66</v>
      </c>
      <c r="AC19" s="134">
        <f t="shared" si="18"/>
        <v>0</v>
      </c>
      <c r="AD19" s="134">
        <f t="shared" si="18"/>
        <v>9</v>
      </c>
      <c r="AE19" s="134">
        <f t="shared" si="18"/>
        <v>9</v>
      </c>
      <c r="AF19" s="134">
        <f t="shared" si="18"/>
        <v>0</v>
      </c>
      <c r="AG19" s="134">
        <f t="shared" si="18"/>
        <v>47</v>
      </c>
      <c r="AH19" s="134">
        <f t="shared" si="18"/>
        <v>19</v>
      </c>
      <c r="AI19" s="134">
        <f t="shared" si="18"/>
        <v>12</v>
      </c>
      <c r="AJ19" s="134">
        <f t="shared" si="18"/>
        <v>54</v>
      </c>
      <c r="AK19" s="134">
        <f t="shared" si="18"/>
        <v>0</v>
      </c>
      <c r="AL19" s="134">
        <f t="shared" si="18"/>
        <v>8</v>
      </c>
      <c r="AM19" s="134">
        <f t="shared" si="18"/>
        <v>8</v>
      </c>
      <c r="AN19" s="210">
        <f t="shared" si="18"/>
        <v>0</v>
      </c>
      <c r="AO19" s="211">
        <v>4</v>
      </c>
      <c r="AP19" s="211">
        <v>3</v>
      </c>
      <c r="AQ19" s="211">
        <v>3</v>
      </c>
      <c r="AR19" s="211">
        <v>3</v>
      </c>
      <c r="AS19" s="153">
        <f t="shared" si="18"/>
        <v>0</v>
      </c>
      <c r="AT19" s="153">
        <f t="shared" si="18"/>
        <v>0</v>
      </c>
      <c r="AU19" s="211"/>
      <c r="AV19" s="212"/>
      <c r="AW19" s="211"/>
      <c r="AX19" s="212"/>
      <c r="AY19" s="133">
        <f>SUBTOTAL(9,AY9:AY18)</f>
        <v>3139</v>
      </c>
      <c r="AZ19" s="134">
        <f>SUBTOTAL(9,AZ9:AZ18)</f>
        <v>1230</v>
      </c>
      <c r="BA19" s="134">
        <f>SUBTOTAL(9,BA9:BA18)</f>
        <v>608</v>
      </c>
      <c r="BB19" s="134">
        <f>SUBTOTAL(9,BB9:BB18)</f>
        <v>3767</v>
      </c>
      <c r="BC19" s="135">
        <f>SUBTOTAL(9,BC9:BC18)</f>
        <v>114</v>
      </c>
      <c r="BD19" s="213">
        <f>IF(ISNUMBER(BA19/AZ19),BA19/AZ19," - ")</f>
        <v>0.49430894308943091</v>
      </c>
      <c r="BE19" s="210">
        <f>IF(ISNUMBER(BB19/BA19),BB19/BA19, " - ")</f>
        <v>6.1957236842105265</v>
      </c>
      <c r="BF19" s="210">
        <f>IF(ISNUMBER(BC19/BA19),BC19/BA19, " - ")</f>
        <v>0.1875</v>
      </c>
      <c r="BG19" s="135">
        <f>IF(ISNUMBER((AY19+AZ19)/BA19),(AY19+AZ19)/BA19," - ")</f>
        <v>7.1858552631578947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XL3LrRXSfRICSskGp2C3qieRip97WKAdk7X+bEI/ItGGIkChrLUEUHrMroA6ANL/6QPbLCnpd2Konfo0VjVqg==" saltValue="rTbTWWjihnU5ZUhyfOtXF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7sPbVY+19jeWrAeazyGRPAKhSWpWYvglJXzlf5yKPo4AjDj54DdGMWRIFQyGurfm2bkT2EuPN0nDiNwHBPtxQ==" saltValue="NOJQmdAEX8Iqkzuk4gBsZ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LA RIOJA</v>
      </c>
    </row>
    <row r="2" spans="1:74" ht="16.5" customHeight="1">
      <c r="C2" s="488" t="str">
        <f>Criterios!A10 &amp;"  "&amp;Criterios!B10 &amp; "  " &amp; IF(NOT(ISBLANK(Criterios!A11)),Criterios!A11 &amp;"  "&amp;Criterios!B11,"")</f>
        <v>Provincias  LA RIOJA  Resumenes por Partidos Judiciales  CALAHORRA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63</v>
      </c>
      <c r="G10" s="333">
        <f>IF(ISNUMBER(Datos!I10),Datos!I10," - ")</f>
        <v>63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52</v>
      </c>
      <c r="AG10" s="334"/>
      <c r="AH10" s="334"/>
      <c r="AI10" s="334"/>
      <c r="AJ10" s="334"/>
      <c r="AK10" s="334"/>
      <c r="AL10" s="479"/>
      <c r="AM10" s="335">
        <f>IF(ISNUMBER(Datos!R10),Datos!R10," - ")</f>
        <v>25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16</v>
      </c>
      <c r="BD10" s="229">
        <f>IF(ISNUMBER(Datos!N10),Datos!N10," - ")</f>
        <v>0</v>
      </c>
      <c r="BE10" s="229" t="str">
        <f>IF(ISNUMBER(Datos!BW10),Datos!BW10," - ")</f>
        <v xml:space="preserve"> - </v>
      </c>
      <c r="BF10" s="228" t="str">
        <f>IF(ISNUMBER(Datos!BX10),Datos!BX10," - ")</f>
        <v xml:space="preserve"> - </v>
      </c>
      <c r="BG10" s="243">
        <f>IF(ISNUMBER(Datos!K10/Datos!J10),Datos!K10/Datos!J10," - ")</f>
        <v>2.2222222222222223</v>
      </c>
      <c r="BH10" s="260">
        <f>IF(ISNUMBER(((Datos!L10/Datos!K10)*11)/factor_trimestre),((Datos!L10/Datos!K10)*11)/factor_trimestre," - ")</f>
        <v>7.8000000000000007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0.13636363636363635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105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3054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125</v>
      </c>
      <c r="BD12" s="229">
        <f>IF(ISNUMBER(Datos!N12),Datos!N12," - ")</f>
        <v>166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0.88235294117647056</v>
      </c>
      <c r="BH12" s="260">
        <f>IF(ISNUMBER(((IF(J_V="SI",Datos!L12/Datos!K12,(Datos!L12+Datos!AB12)/(Datos!K12+Datos!AA12)))*11)/factor_trimestre),((IF(J_V="SI",Datos!L12/Datos!K12,(Datos!L12+Datos!AB12)/(Datos!K12+Datos!AA12)))*11)/factor_trimestre," - ")</f>
        <v>18.08235294117647</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2.5864964729593549E-2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63</v>
      </c>
      <c r="G13" s="898">
        <f t="shared" si="0"/>
        <v>63</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28</v>
      </c>
      <c r="AD13" s="899">
        <f t="shared" si="1"/>
        <v>0</v>
      </c>
      <c r="AE13" s="899">
        <f t="shared" si="1"/>
        <v>0</v>
      </c>
      <c r="AF13" s="899">
        <f t="shared" si="1"/>
        <v>52</v>
      </c>
      <c r="AG13" s="899">
        <f t="shared" si="1"/>
        <v>0</v>
      </c>
      <c r="AH13" s="899">
        <f t="shared" si="1"/>
        <v>66</v>
      </c>
      <c r="AI13" s="899">
        <f t="shared" si="1"/>
        <v>0</v>
      </c>
      <c r="AJ13" s="899">
        <f t="shared" si="1"/>
        <v>0</v>
      </c>
      <c r="AK13" s="899">
        <f t="shared" si="1"/>
        <v>0</v>
      </c>
      <c r="AL13" s="899">
        <f t="shared" si="1"/>
        <v>0</v>
      </c>
      <c r="AM13" s="899">
        <f t="shared" si="1"/>
        <v>3079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v>
      </c>
      <c r="BD13" s="899">
        <f t="shared" si="1"/>
        <v>166</v>
      </c>
      <c r="BE13" s="899">
        <f t="shared" si="1"/>
        <v>0</v>
      </c>
      <c r="BF13" s="899">
        <f t="shared" si="1"/>
        <v>0</v>
      </c>
      <c r="BG13" s="899">
        <f>IF(ISNUMBER(Datos!K13/Datos!J13),Datos!K13/Datos!J13," - ")</f>
        <v>0.91265597147950084</v>
      </c>
      <c r="BH13" s="903">
        <f>IF(ISNUMBER(((Datos!L13/Datos!K13)*11)/factor_trimestre),((Datos!L13/Datos!K13)*11)/factor_trimestre," - ")</f>
        <v>17.9296875</v>
      </c>
      <c r="BI13" s="899">
        <f>IF(ISNUMBER('Resol  Asuntos'!D13/NºAsuntos!G13),'Resol  Asuntos'!D13/NºAsuntos!G13," - ")</f>
        <v>0.2660377358490566</v>
      </c>
      <c r="BJ13" s="899" t="str">
        <f>IF(ISNUMBER(Datos!CI13/Datos!CJ13),Datos!CI13/Datos!CJ13," - ")</f>
        <v xml:space="preserve"> - </v>
      </c>
      <c r="BK13" s="899">
        <f>SUBTOTAL(9,BK8:BK12)</f>
        <v>0</v>
      </c>
      <c r="BL13" s="899">
        <f>IF(ISNUMBER((I13-AB13+L13)/(F13)),(I13-AB13+L13)/(F13)," - ")</f>
        <v>-0.31746031746031744</v>
      </c>
      <c r="BM13" s="904">
        <f>SUBTOTAL(9,BM9:BM12)</f>
        <v>0.1622286010932299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2088</v>
      </c>
      <c r="G16" s="598">
        <f>IF(ISNUMBER(IF(D_I="SI",Datos!I16,Datos!I16+Datos!AC16)),IF(D_I="SI",Datos!I16,Datos!I16+Datos!AC16)," - ")</f>
        <v>2121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593</v>
      </c>
      <c r="AC16" s="226">
        <f>IF(ISNUMBER(Datos!Q16),Datos!Q16," - ")</f>
        <v>12</v>
      </c>
      <c r="AD16" s="334"/>
      <c r="AE16" s="484"/>
      <c r="AF16" s="596">
        <f>IF(ISNUMBER(IF(D_I="SI",Datos!L16,Datos!L16+Datos!AF16)),IF(D_I="SI",Datos!L16,Datos!L16+Datos!AF16)," - ")</f>
        <v>2099</v>
      </c>
      <c r="AG16" s="334"/>
      <c r="AH16" s="334"/>
      <c r="AI16" s="334"/>
      <c r="AJ16" s="334"/>
      <c r="AK16" s="334"/>
      <c r="AL16" s="479"/>
      <c r="AM16" s="335">
        <f>IF(ISNUMBER(Datos!R16),Datos!R16," - ")</f>
        <v>171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89</v>
      </c>
      <c r="BD16" s="229">
        <f>IF(ISNUMBER(Datos!N16),Datos!N16," - ")</f>
        <v>334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0.98178807947019864</v>
      </c>
      <c r="BH16" s="260">
        <f>IF(ISNUMBER(((IF(D_I="SI",Datos!L16/Datos!K16,(Datos!L16+Datos!AF16)/(Datos!K16+Datos!AE16)))*11)/factor_trimestre),((IF(D_I="SI",Datos!L16/Datos!K16,(Datos!L16+Datos!AF16)/(Datos!K16+Datos!AE16)))*11)/factor_trimestre," - ")</f>
        <v>10.618887015177066</v>
      </c>
      <c r="BI16" s="243">
        <f>IF(ISNUMBER('Resol  Asuntos'!D16/NºAsuntos!G16),'Resol  Asuntos'!D16/NºAsuntos!G16," - ")</f>
        <v>0.15008431703204048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84</v>
      </c>
      <c r="AC17" s="226">
        <f>IF(ISNUMBER(Datos!Q17),Datos!Q17," - ")</f>
        <v>5</v>
      </c>
      <c r="AD17" s="334"/>
      <c r="AE17" s="484"/>
      <c r="AF17" s="332">
        <f>IF(ISNUMBER(Datos!L17),Datos!L17,"-")</f>
        <v>168</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1.4736842105263157</v>
      </c>
      <c r="BH17" s="260">
        <f>IF(ISNUMBER(((IF(D_I="SI",Datos!L17/Datos!K17,(Datos!L17+Datos!AF17)/(Datos!K17+Datos!AE17)))*11)/factor_trimestre),((IF(D_I="SI",Datos!L17/Datos!K17,(Datos!L17+Datos!AF17)/(Datos!K17+Datos!AE17)))*11)/factor_trimestre," - ")</f>
        <v>6</v>
      </c>
      <c r="BI17" s="243">
        <f>IF(ISNUMBER('Resol  Asuntos'!D17/NºAsuntos!G17),'Resol  Asuntos'!D17/NºAsuntos!G17," - ")</f>
        <v>0.11904761904761904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2088</v>
      </c>
      <c r="G18" s="898">
        <f>SUBTOTAL(9,G15:G17)</f>
        <v>2351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677</v>
      </c>
      <c r="AC18" s="899">
        <f t="shared" si="4"/>
        <v>17</v>
      </c>
      <c r="AD18" s="899">
        <f t="shared" si="4"/>
        <v>0</v>
      </c>
      <c r="AE18" s="899">
        <f t="shared" si="4"/>
        <v>0</v>
      </c>
      <c r="AF18" s="899">
        <f t="shared" si="4"/>
        <v>2267</v>
      </c>
      <c r="AG18" s="899">
        <f t="shared" si="4"/>
        <v>0</v>
      </c>
      <c r="AH18" s="899">
        <f t="shared" si="4"/>
        <v>0</v>
      </c>
      <c r="AI18" s="899">
        <f t="shared" si="4"/>
        <v>0</v>
      </c>
      <c r="AJ18" s="899">
        <f t="shared" si="4"/>
        <v>0</v>
      </c>
      <c r="AK18" s="899">
        <f t="shared" si="4"/>
        <v>0</v>
      </c>
      <c r="AL18" s="899">
        <f t="shared" si="4"/>
        <v>0</v>
      </c>
      <c r="AM18" s="899">
        <f t="shared" si="4"/>
        <v>173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99</v>
      </c>
      <c r="BD18" s="899">
        <f t="shared" si="4"/>
        <v>377</v>
      </c>
      <c r="BE18" s="899">
        <f t="shared" si="4"/>
        <v>0</v>
      </c>
      <c r="BF18" s="899">
        <f t="shared" si="4"/>
        <v>0</v>
      </c>
      <c r="BG18" s="899">
        <f>IF(ISNUMBER(Datos!K18/Datos!J18),Datos!K18/Datos!J18," - ")</f>
        <v>1.0242057488653555</v>
      </c>
      <c r="BH18" s="903">
        <f>IF(ISNUMBER(((Datos!L18/Datos!K18)*11)/factor_trimestre),((Datos!L18/Datos!K18)*11)/factor_trimestre," - ")</f>
        <v>10.045790251107828</v>
      </c>
      <c r="BI18" s="899">
        <f>SUBTOTAL(9,BI15:BI17)</f>
        <v>0.26913193607965952</v>
      </c>
      <c r="BJ18" s="899">
        <f>SUBTOTAL(9,BJ15:BJ17)</f>
        <v>0</v>
      </c>
      <c r="BK18" s="899">
        <f>SUBTOTAL(9,BK15:BK17)</f>
        <v>0</v>
      </c>
      <c r="BL18" s="899">
        <f>IF(ISNUMBER((I18-AB18+L18)/(F18)),(I18-AB18+L18)/(F18)," - ")</f>
        <v>-0.3242337164750958</v>
      </c>
      <c r="BM18" s="905">
        <f>IF(ISNUMBER((Datos!P18-Datos!Q18)/(Datos!R18-Datos!P18+Datos!Q18)),(Datos!P18-Datos!Q18)/(Datos!R18-Datos!P18+Datos!Q18)," - ")</f>
        <v>-4.4198895027624308E-2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2151</v>
      </c>
      <c r="G19" s="820">
        <f t="shared" si="6"/>
        <v>2414</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117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697</v>
      </c>
      <c r="AC19" s="821">
        <f t="shared" si="7"/>
        <v>45</v>
      </c>
      <c r="AD19" s="821">
        <f t="shared" si="7"/>
        <v>0</v>
      </c>
      <c r="AE19" s="821">
        <f t="shared" si="7"/>
        <v>0</v>
      </c>
      <c r="AF19" s="828">
        <f t="shared" si="7"/>
        <v>2319</v>
      </c>
      <c r="AG19" s="828">
        <f t="shared" si="7"/>
        <v>0</v>
      </c>
      <c r="AH19" s="828">
        <f t="shared" si="7"/>
        <v>66</v>
      </c>
      <c r="AI19" s="828">
        <f t="shared" si="7"/>
        <v>0</v>
      </c>
      <c r="AJ19" s="821">
        <f t="shared" si="7"/>
        <v>0</v>
      </c>
      <c r="AK19" s="828">
        <f t="shared" si="7"/>
        <v>0</v>
      </c>
      <c r="AL19" s="828">
        <f t="shared" si="7"/>
        <v>0</v>
      </c>
      <c r="AM19" s="828">
        <f t="shared" si="7"/>
        <v>3252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240</v>
      </c>
      <c r="BD19" s="820">
        <f t="shared" si="7"/>
        <v>543</v>
      </c>
      <c r="BE19" s="820">
        <f t="shared" si="7"/>
        <v>0</v>
      </c>
      <c r="BF19" s="830">
        <f t="shared" si="7"/>
        <v>0</v>
      </c>
      <c r="BG19" s="915">
        <f>IF(ISNUMBER(Datos!K19/Datos!J19),Datos!K19/Datos!J19," - ")</f>
        <v>0.97299509001636664</v>
      </c>
      <c r="BH19" s="915">
        <f>IF(ISNUMBER(((Datos!L19/Datos!K19)*11)/factor_trimestre),((Datos!L19/Datos!K19)*11)/factor_trimestre," - ")</f>
        <v>13.440706476030279</v>
      </c>
      <c r="BI19" s="813">
        <f>IF(ISNUMBER(Datos!J19/Datos!I19),Datos!J19/Datos!I19," - ")</f>
        <v>0.22781506338553317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-0.32403533240353322</v>
      </c>
      <c r="BM19" s="889">
        <f>IF(ISNUMBER((Datos!P19-Datos!Q19+R19)/(Datos!R19-Datos!P19+Datos!Q19-R19)),(Datos!P19-Datos!Q19+R19)/(Datos!R19-Datos!P19+Datos!Q19-R19)," - ")</f>
        <v>2.2641509433962263E-2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1169.1342951089921</v>
      </c>
      <c r="G21" s="552">
        <f>IF(ISNUMBER(STDEV(G8:G18)),STDEV(G8:G18),"-")</f>
        <v>1164.5560527514338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327.5617499037395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55.107168317742477</v>
      </c>
      <c r="BD21" s="551"/>
      <c r="BE21" s="551">
        <f>IF(ISNUMBER(STDEV(BE8:BE18)),STDEV(BE8:BE18),"-")</f>
        <v>0</v>
      </c>
      <c r="BF21" s="556">
        <f>IF(ISNUMBER(STDEV(BF8:BF18)),STDEV(BF8:BF18),"-")</f>
        <v>0</v>
      </c>
      <c r="BG21" s="775">
        <f>IF(ISNUMBER(STDEV(BG8:BG18)),STDEV(BG8:BG18),"-")</f>
        <v>0.52290249852531867</v>
      </c>
      <c r="BH21" s="776">
        <f>IF(ISNUMBER(STDEV(BH8:BH18)),STDEV(BH8:BH18),"-")</f>
        <v>5.1212476698114449</v>
      </c>
      <c r="BI21" s="249">
        <f>IF(ISNUMBER(STDEV(BI8:BI18)),STDEV(BI8:BI18),"-")</f>
        <v>7.7846953638415303E-2</v>
      </c>
      <c r="BJ21" s="230" t="str">
        <f>IF(ISNUMBER(BL21/BM21),BL21/BM21," - ")</f>
        <v xml:space="preserve"> - </v>
      </c>
      <c r="BK21" s="575"/>
      <c r="BL21" s="559">
        <f>IF(ISNUMBER(STDEV(BL8:BL18)),STDEV(BL8:BL18),"-")</f>
        <v>4.7895163750320572E-3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o4gNzs3JO1cmltItFMcx//wCnH0FbHI6xFwAAFf4wUFcgvtkhbMWCeCtGYldyOL9bK0uQPhYiEAMjFb90yyS2g==" saltValue="4MzVCYARbehBNPL6EH/dK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LA RIOJA</v>
      </c>
    </row>
    <row r="2" spans="1:73" ht="16.5" customHeight="1">
      <c r="C2" s="528" t="str">
        <f>Criterios!A10 &amp;"  "&amp;Criterios!B10 &amp; "  " &amp; IF(NOT(ISBLANK(Criterios!A11)),Criterios!A11 &amp;"  "&amp;Criterios!B11,"")</f>
        <v>Provincias  LA RIOJA  Resumenes por Partidos Judiciales  CALAHORRA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63</v>
      </c>
      <c r="G10" s="225">
        <f>IF(ISNUMBER(Datos!I10),Datos!I10," - ")</f>
        <v>63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52</v>
      </c>
      <c r="AB10" s="334"/>
      <c r="AC10" s="334"/>
      <c r="AD10" s="484"/>
      <c r="AE10" s="484">
        <f>IF(ISNUMBER(Datos!R10),Datos!R10," - ")</f>
        <v>25</v>
      </c>
      <c r="AF10" s="229" t="str">
        <f>IF(ISNUMBER(Datos!BV10),Datos!BV10," - ")</f>
        <v xml:space="preserve"> - </v>
      </c>
      <c r="AG10" s="225" t="str">
        <f>IF(ISNUMBER(Datos!DV10),Datos!DV10," - ")</f>
        <v xml:space="preserve"> - </v>
      </c>
      <c r="AH10" s="298"/>
      <c r="AI10" s="227"/>
      <c r="AJ10" s="225">
        <f>IF(ISNUMBER(Datos!M10),Datos!M10," - ")</f>
        <v>16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0.13636363636363635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v>
      </c>
      <c r="AA12" s="332" t="str">
        <f>IF(ISNUMBER(IF(J_V="SI",Datos!L12,Datos!L12+Datos!AB12)-IF(Monitorios="SI",Datos!CD12,0)),
                          IF(J_V="SI",Datos!L12,Datos!L12+Datos!AB12)-IF(Monitorios="SI",Datos!CD12,0),
                          " - ")</f>
        <v xml:space="preserve"> - </v>
      </c>
      <c r="AB12" s="334"/>
      <c r="AC12" s="334"/>
      <c r="AD12" s="484"/>
      <c r="AE12" s="484">
        <f>IF(ISNUMBER(Datos!R12),Datos!R12," - ")</f>
        <v>3054</v>
      </c>
      <c r="AF12" s="229" t="str">
        <f>IF(ISNUMBER(Datos!BV12),Datos!BV12," - ")</f>
        <v xml:space="preserve"> - </v>
      </c>
      <c r="AG12" s="225" t="str">
        <f>IF(ISNUMBER(Datos!DV12),Datos!DV12," - ")</f>
        <v xml:space="preserve"> - </v>
      </c>
      <c r="AH12" s="298"/>
      <c r="AI12" s="227"/>
      <c r="AJ12" s="225">
        <f>IF(ISNUMBER(Datos!M12),Datos!M12," - ")</f>
        <v>125</v>
      </c>
      <c r="AK12" s="229">
        <f>IF(ISNUMBER(Datos!N12),Datos!N12," - ")</f>
        <v>166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18.08235294117647</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2.5864964729593549E-2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63</v>
      </c>
      <c r="G13" s="898">
        <f>SUBTOTAL(9,G8:G12)</f>
        <v>63</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28</v>
      </c>
      <c r="AA13" s="900">
        <f t="shared" si="2"/>
        <v>52</v>
      </c>
      <c r="AB13" s="900">
        <f t="shared" si="2"/>
        <v>0</v>
      </c>
      <c r="AC13" s="900">
        <f t="shared" si="2"/>
        <v>0</v>
      </c>
      <c r="AD13" s="900">
        <f t="shared" si="2"/>
        <v>0</v>
      </c>
      <c r="AE13" s="900">
        <f t="shared" si="2"/>
        <v>3079</v>
      </c>
      <c r="AF13" s="908">
        <f t="shared" si="2"/>
        <v>0</v>
      </c>
      <c r="AG13" s="908">
        <f t="shared" si="2"/>
        <v>0</v>
      </c>
      <c r="AH13" s="908">
        <f t="shared" si="2"/>
        <v>0</v>
      </c>
      <c r="AI13" s="908">
        <f t="shared" si="2"/>
        <v>0</v>
      </c>
      <c r="AJ13" s="908">
        <f t="shared" si="2"/>
        <v>141</v>
      </c>
      <c r="AK13" s="908">
        <f t="shared" si="2"/>
        <v>166</v>
      </c>
      <c r="AL13" s="908">
        <f t="shared" si="2"/>
        <v>0</v>
      </c>
      <c r="AM13" s="908">
        <f t="shared" si="2"/>
        <v>0</v>
      </c>
      <c r="AN13" s="908">
        <f t="shared" si="2"/>
        <v>0</v>
      </c>
      <c r="AO13" s="904">
        <f>IF(ISNUMBER(((NºAsuntos!I13/NºAsuntos!G13)*11)/factor_trimestre),((NºAsuntos!I13/NºAsuntos!G13)*11)/factor_trimestre," - ")</f>
        <v>17.694339622641511</v>
      </c>
      <c r="AP13" s="910" t="str">
        <f>IF(ISNUMBER(Datos!CI13/Datos!CJ13),Datos!CI13/Datos!CJ13," - ")</f>
        <v xml:space="preserve"> - </v>
      </c>
      <c r="AQ13" s="928">
        <f t="shared" ref="AQ13:AV13" si="3">SUBTOTAL(9,AQ9:AQ12)</f>
        <v>0</v>
      </c>
      <c r="AR13" s="928">
        <f t="shared" si="3"/>
        <v>0.1622286010932299</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2088</v>
      </c>
      <c r="G16" s="225">
        <f>IF(ISNUMBER(IF(D_I="SI",Datos!I16,Datos!I16+Datos!AC16)),IF(D_I="SI",Datos!I16,Datos!I16+Datos!AC16)," - ")</f>
        <v>2121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593</v>
      </c>
      <c r="Z16" s="619">
        <f>IF(ISNUMBER(Datos!Q16),Datos!Q16," - ")</f>
        <v>12</v>
      </c>
      <c r="AA16" s="332">
        <f>IF(ISNUMBER(IF(D_I="SI",Datos!L16,Datos!L16+Datos!AF16)),IF(D_I="SI",Datos!L16,Datos!L16+Datos!AF16)," - ")</f>
        <v>2099</v>
      </c>
      <c r="AB16" s="334"/>
      <c r="AC16" s="334"/>
      <c r="AD16" s="484"/>
      <c r="AE16" s="484">
        <f>IF(ISNUMBER(Datos!R16),Datos!R16," - ")</f>
        <v>171</v>
      </c>
      <c r="AF16" s="229" t="str">
        <f>IF(ISNUMBER(Datos!BV16),Datos!BV16," - ")</f>
        <v xml:space="preserve"> - </v>
      </c>
      <c r="AG16" s="225"/>
      <c r="AH16" s="298"/>
      <c r="AI16" s="227"/>
      <c r="AJ16" s="225">
        <f>IF(ISNUMBER(Datos!M16),Datos!M16," - ")</f>
        <v>89</v>
      </c>
      <c r="AK16" s="229">
        <f>IF(ISNUMBER(Datos!N16),Datos!N16," - ")</f>
        <v>334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10.618887015177066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84</v>
      </c>
      <c r="Z17" s="619">
        <f>IF(ISNUMBER(Datos!Q17),Datos!Q17," - ")</f>
        <v>5</v>
      </c>
      <c r="AA17" s="332">
        <f>IF(ISNUMBER(Datos!L17),Datos!L17,"-")</f>
        <v>168</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10</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2088</v>
      </c>
      <c r="G18" s="898">
        <f>SUBTOTAL(9,G15:G17)</f>
        <v>2351</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677</v>
      </c>
      <c r="Z18" s="932">
        <f t="shared" si="5"/>
        <v>17</v>
      </c>
      <c r="AA18" s="932">
        <f t="shared" si="5"/>
        <v>2267</v>
      </c>
      <c r="AB18" s="932">
        <f t="shared" si="5"/>
        <v>0</v>
      </c>
      <c r="AC18" s="932">
        <f t="shared" si="5"/>
        <v>0</v>
      </c>
      <c r="AD18" s="932">
        <f t="shared" si="5"/>
        <v>0</v>
      </c>
      <c r="AE18" s="932">
        <f t="shared" si="5"/>
        <v>173</v>
      </c>
      <c r="AF18" s="932">
        <f t="shared" si="5"/>
        <v>0</v>
      </c>
      <c r="AG18" s="932">
        <f t="shared" si="5"/>
        <v>0</v>
      </c>
      <c r="AH18" s="932">
        <f t="shared" si="5"/>
        <v>0</v>
      </c>
      <c r="AI18" s="932">
        <f t="shared" si="5"/>
        <v>0</v>
      </c>
      <c r="AJ18" s="932">
        <f t="shared" si="5"/>
        <v>99</v>
      </c>
      <c r="AK18" s="932">
        <f t="shared" si="5"/>
        <v>377</v>
      </c>
      <c r="AL18" s="932">
        <f t="shared" si="5"/>
        <v>0</v>
      </c>
      <c r="AM18" s="932">
        <f t="shared" si="5"/>
        <v>0</v>
      </c>
      <c r="AN18" s="932">
        <f t="shared" si="5"/>
        <v>0</v>
      </c>
      <c r="AO18" s="934">
        <f>IF(ISNUMBER(((NºAsuntos!I18/NºAsuntos!G18)*11)/factor_trimestre),((NºAsuntos!I18/NºAsuntos!G18)*11)/factor_trimestre," - ")</f>
        <v>10.045790251107828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2151</v>
      </c>
      <c r="G19" s="820">
        <f t="shared" si="7"/>
        <v>2414</v>
      </c>
      <c r="H19" s="821">
        <f t="shared" si="7"/>
        <v>0</v>
      </c>
      <c r="I19" s="820">
        <f t="shared" si="7"/>
        <v>0</v>
      </c>
      <c r="J19" s="822">
        <f t="shared" si="7"/>
        <v>0</v>
      </c>
      <c r="K19" s="820">
        <f t="shared" si="7"/>
        <v>0</v>
      </c>
      <c r="L19" s="823">
        <f t="shared" si="7"/>
        <v>0</v>
      </c>
      <c r="M19" s="820">
        <f t="shared" si="7"/>
        <v>0</v>
      </c>
      <c r="N19" s="821">
        <f t="shared" si="7"/>
        <v>117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697</v>
      </c>
      <c r="Z19" s="827">
        <f t="shared" si="8"/>
        <v>45</v>
      </c>
      <c r="AA19" s="828">
        <f t="shared" si="8"/>
        <v>2319</v>
      </c>
      <c r="AB19" s="828">
        <f t="shared" si="8"/>
        <v>0</v>
      </c>
      <c r="AC19" s="828">
        <f t="shared" si="8"/>
        <v>0</v>
      </c>
      <c r="AD19" s="829">
        <f t="shared" si="8"/>
        <v>0</v>
      </c>
      <c r="AE19" s="829">
        <f t="shared" si="8"/>
        <v>3252</v>
      </c>
      <c r="AF19" s="830">
        <f t="shared" si="8"/>
        <v>0</v>
      </c>
      <c r="AG19" s="831">
        <f t="shared" si="8"/>
        <v>0</v>
      </c>
      <c r="AH19" s="832">
        <f t="shared" si="8"/>
        <v>0</v>
      </c>
      <c r="AI19" s="830">
        <f t="shared" si="8"/>
        <v>0</v>
      </c>
      <c r="AJ19" s="820">
        <f t="shared" si="8"/>
        <v>240</v>
      </c>
      <c r="AK19" s="820">
        <f t="shared" si="8"/>
        <v>543</v>
      </c>
      <c r="AL19" s="820">
        <f t="shared" si="8"/>
        <v>0</v>
      </c>
      <c r="AM19" s="833">
        <f t="shared" si="8"/>
        <v>0</v>
      </c>
      <c r="AN19" s="823">
        <f>IF(ISNUMBER(Datos!K19/Datos!J19),Datos!K19/Datos!J19," - ")</f>
        <v>0.97299509001636664</v>
      </c>
      <c r="AO19" s="823">
        <f>IF(ISNUMBER(FIND("06",Criterios!A8,1)),(IF(ISNUMBER(((Datos!R19/Datos!Q19)*11)/factor_trimestre),((Datos!R19/Datos!Q19)*11)/factor_trimestre," - ")),(IF(ISNUMBER(((Datos!L19/Datos!K19)*11)/factor_trimestre),((Datos!L19/Datos!K19)*11)/factor_trimestre," - ")))</f>
        <v>13.440706476030279</v>
      </c>
      <c r="AP19" s="834" t="str">
        <f>IF(ISNUMBER(Datos!CI19/Datos!CJ19),Datos!CI19/Datos!CJ19," - ")</f>
        <v xml:space="preserve"> - </v>
      </c>
      <c r="AQ19" s="834">
        <f>IF(OR(ISNUMBER(FIND("01",Criterios!A8,1)),ISNUMBER(FIND("02",Criterios!A8,1)),ISNUMBER(FIND("03",Criterios!A8,1)),ISNUMBER(FIND("04",Criterios!A8,1))),(J19-Y19+K19)/(F19-K19),(I19-Y19+K19)/(F19-K19))</f>
        <v>-0.32403533240353322</v>
      </c>
      <c r="AR19" s="834">
        <f>IF(ISNUMBER((Datos!P19-Datos!Q19+O19)/(Datos!R19-Datos!P19+Datos!Q19-O19)),(Datos!P19-Datos!Q19+O19)/(Datos!R19-Datos!P19+Datos!Q19-O19)," - ")</f>
        <v>2.2641509433962263E-2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1169.1342951089921</v>
      </c>
      <c r="G21" s="552">
        <f>IF(ISNUMBER(STDEV(G8:G18)),STDEV(G8:G18),"-")</f>
        <v>1164.5560527514338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55.107168317742477</v>
      </c>
      <c r="AK21" s="252"/>
      <c r="AL21" s="252">
        <f>IF(ISNUMBER(STDEV(AL8:AL18)),STDEV(AL8:AL18),"-")</f>
        <v>0</v>
      </c>
      <c r="AM21" s="254">
        <f>IF(ISNUMBER(STDEV(AM8:AM18)),STDEV(AM8:AM18),"-")</f>
        <v>0</v>
      </c>
      <c r="AN21" s="539">
        <f>IF(ISNUMBER(STDEV(AN8:AN18)),STDEV(AN8:AN18),"-")</f>
        <v>0</v>
      </c>
      <c r="AO21" s="540">
        <f>IF(ISNUMBER(STDEV(AO8:AO18)),STDEV(AO8:AO18),"-")</f>
        <v>5.0650067425974701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JhHdp63tq/2vTTiXWKPKanhPBF1jqhARSIkK7T9RybYi/RPFIGlteS1PfDL4N0mX/W6JfGNHZkz5LqOPzfwUhQ==" saltValue="fceilqlEGPjJ/IexvCph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p53Ea9+it1Yx96ggMWePbn/qlizDoUCB+0f9MkBjTBfqzUY6cBU7/AAxCcRE7Wu8qhxMBBtMLgdA8ZBsjaggyA==" saltValue="7DLdUBLDupiRoHambPDd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UCAB7ybo5E7cxTRZ3TJdUHvh3OMpRrBm/UJq2KhW+NZGtVvdECHX2p1zCsa/tRVnUVjMgHkBa9FNJ1Qgx61bw==" saltValue="U5P5ly9T9S5bE5DQQuOr+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LA RIOJA</v>
      </c>
    </row>
    <row r="2" spans="1:75" ht="16.5" customHeight="1">
      <c r="C2" s="488" t="str">
        <f>Criterios!A10 &amp;"  "&amp;Criterios!B10 &amp; "  " &amp; IF(NOT(ISBLANK(Criterios!A11)),Criterios!A11 &amp;"  "&amp;Criterios!B11,"")</f>
        <v>Provincias  LA RIOJA  Resumenes por Partidos Judiciales  CALAHORRA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0.2660377358490566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0.18811708707038341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DZnFUEzzW9OMlR2Jp+Zb6ENyBfTvHDWwDbQ9NHnQyekRf2jOV4eV0ij4JkGBe32PrFrExqFvibejszkEVOjqvg==" saltValue="T2F9ijogcdASgtuGA3lOz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kVy4Co6ePPVQVODJ02J9YxrfidcHX+96Uydnjss21XQQTgCHlr1cYFqbc1ZpBBJCHqgNTxOS6wNXtbZpmNctg==" saltValue="IZGDCSO0aVidnMWEqaRA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LA RIOJA</v>
      </c>
      <c r="C2" s="375"/>
      <c r="D2" s="375"/>
      <c r="E2" s="375"/>
      <c r="F2" s="375"/>
    </row>
    <row r="3" spans="1:14" ht="19.5">
      <c r="A3" s="390" t="s">
        <v>115</v>
      </c>
      <c r="B3" s="391" t="str">
        <f>Criterios!A10 &amp;"  "&amp;Criterios!B10</f>
        <v>Provincias  LA RIOJA</v>
      </c>
      <c r="D3" s="375"/>
      <c r="E3" s="375"/>
      <c r="F3" s="375"/>
    </row>
    <row r="4" spans="1:14" ht="13.5" thickBot="1">
      <c r="A4" s="375"/>
      <c r="B4" s="391" t="str">
        <f>Criterios!A11 &amp;"  "&amp;Criterios!B11</f>
        <v>Resumenes por Partidos Judiciales  CALAHORRA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63</v>
      </c>
      <c r="D10" s="404">
        <f>IF(ISNUMBER(C10/Datos!BH10),C10/Datos!BH10," - ")</f>
        <v>63</v>
      </c>
      <c r="E10" s="403">
        <f>IF(ISNUMBER(Datos!J10),Datos!J10," - ")</f>
        <v>9</v>
      </c>
      <c r="F10" s="404">
        <f>IF(ISNUMBER(E10/B10),E10/B10," - ")</f>
        <v>9</v>
      </c>
      <c r="G10" s="403">
        <f>IF(ISNUMBER(Datos!K10),Datos!K10," - ")</f>
        <v>20</v>
      </c>
      <c r="H10" s="404">
        <f>IF(ISNUMBER(G10/B10),G10/B10," - ")</f>
        <v>20</v>
      </c>
      <c r="I10" s="403">
        <f>IF(ISNUMBER(Datos!L10),Datos!L10," - ")</f>
        <v>52</v>
      </c>
      <c r="J10" s="404">
        <f>IF(ISNUMBER(I10/B10),I10/B10," - ")</f>
        <v>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3008</v>
      </c>
      <c r="D12" s="404">
        <f>IF(ISNUMBER(C12/Datos!BH12),C12/Datos!BH12," - ")</f>
        <v>1002.6666666666666</v>
      </c>
      <c r="E12" s="403">
        <f>IF(ISNUMBER(IF(J_V="SI",Datos!J12,Datos!J12+Datos!Z12)),IF(J_V="SI",Datos!J12,Datos!J12+Datos!Z12)," - ")</f>
        <v>578</v>
      </c>
      <c r="F12" s="404">
        <f>IF(ISNUMBER(E12/B12),E12/B12," - ")</f>
        <v>192.66666666666666</v>
      </c>
      <c r="G12" s="403">
        <f>IF(ISNUMBER(IF(J_V="SI",Datos!K12,Datos!K12+Datos!AA12)),IF(J_V="SI",Datos!K12,Datos!K12+Datos!AA12)," - ")</f>
        <v>510</v>
      </c>
      <c r="H12" s="404">
        <f>IF(ISNUMBER(G12/B12),G12/B12," - ")</f>
        <v>170</v>
      </c>
      <c r="I12" s="403">
        <f>IF(ISNUMBER(IF(J_V="SI",Datos!L12,Datos!L12+Datos!AB12)),IF(J_V="SI",Datos!L12,Datos!L12+Datos!AB12)," - ")</f>
        <v>3074</v>
      </c>
      <c r="J12" s="404">
        <f>IF(ISNUMBER(I12/B12),I12/B12," - ")</f>
        <v>1024.6666666666667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3071</v>
      </c>
      <c r="D13" s="850" t="str">
        <f>IF(ISNUMBER(C13/Datos!BI13),C13/Datos!BI13," - ")</f>
        <v xml:space="preserve"> - </v>
      </c>
      <c r="E13" s="849">
        <f>SUBTOTAL(9,E8:E12)</f>
        <v>587</v>
      </c>
      <c r="F13" s="850">
        <f>IF(ISNUMBER(E13/B13),E13/B13," - ")</f>
        <v>195.66666666666666</v>
      </c>
      <c r="G13" s="849">
        <f>SUBTOTAL(9,G8:G12)</f>
        <v>530</v>
      </c>
      <c r="H13" s="850">
        <f>IF(ISNUMBER(G13/B13),G13/B13," - ")</f>
        <v>176.66666666666666</v>
      </c>
      <c r="I13" s="849">
        <f>SUBTOTAL(9,I8:I12)</f>
        <v>3126</v>
      </c>
      <c r="J13" s="850">
        <f>IF(ISNUMBER(I13/B13),I13/B13," - ")</f>
        <v>1042</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2121</v>
      </c>
      <c r="D16" s="404">
        <f>IF(ISNUMBER(C16/Datos!BH16),C16/Datos!BH16," - ")</f>
        <v>707</v>
      </c>
      <c r="E16" s="403">
        <f>IF(ISNUMBER(IF(D_I="SI",Datos!J16,Datos!J16+Datos!AD16)),IF(D_I="SI",Datos!J16,Datos!J16+Datos!AD16)," - ")</f>
        <v>604</v>
      </c>
      <c r="F16" s="404">
        <f>IF(ISNUMBER(E16/B16),E16/B16," - ")</f>
        <v>201.33333333333334</v>
      </c>
      <c r="G16" s="403">
        <f>IF(ISNUMBER(IF(D_I="SI",Datos!K16,Datos!K16+Datos!AE16)),IF(D_I="SI",Datos!K16,Datos!K16+Datos!AE16)," - ")</f>
        <v>593</v>
      </c>
      <c r="H16" s="404">
        <f>IF(ISNUMBER(G16/B16),G16/B16," - ")</f>
        <v>197.66666666666666</v>
      </c>
      <c r="I16" s="403">
        <f>IF(ISNUMBER(IF(D_I="SI",Datos!L16,Datos!L16+Datos!AF16)),IF(D_I="SI",Datos!L16,Datos!L16+Datos!AF16)," - ")</f>
        <v>2099</v>
      </c>
      <c r="J16" s="404">
        <f>IF(ISNUMBER(I16/B16),I16/B16," - ")</f>
        <v>699.66666666666663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230</v>
      </c>
      <c r="D17" s="404">
        <f>IF(ISNUMBER(C17/Datos!BH17),C17/Datos!BH17," - ")</f>
        <v>230</v>
      </c>
      <c r="E17" s="403">
        <f>IF(ISNUMBER(IF(D_I="SI",Datos!J17,Datos!J17+Datos!AD17)),IF(D_I="SI",Datos!J17,Datos!J17+Datos!AD17)," - ")</f>
        <v>57</v>
      </c>
      <c r="F17" s="404">
        <f>IF(ISNUMBER(E17/B17),E17/B17," - ")</f>
        <v>57</v>
      </c>
      <c r="G17" s="403">
        <f>IF(ISNUMBER(IF(D_I="SI",Datos!K17,Datos!K17+Datos!AE17)),IF(D_I="SI",Datos!K17,Datos!K17+Datos!AE17)," - ")</f>
        <v>84</v>
      </c>
      <c r="H17" s="404">
        <f>IF(ISNUMBER(G17/B17),G17/B17," - ")</f>
        <v>84</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2351</v>
      </c>
      <c r="D18" s="850" t="str">
        <f>IF(ISNUMBER(C18/Datos!BI18),C18/Datos!BI18," - ")</f>
        <v xml:space="preserve"> - </v>
      </c>
      <c r="E18" s="849">
        <f>SUBTOTAL(9,E14:E17)</f>
        <v>661</v>
      </c>
      <c r="F18" s="850">
        <f>IF(ISNUMBER(E18/B18),E18/B18," - ")</f>
        <v>220.33333333333334</v>
      </c>
      <c r="G18" s="849">
        <f>SUBTOTAL(9,G14:G17)</f>
        <v>677</v>
      </c>
      <c r="H18" s="850">
        <f>IF(ISNUMBER(G18/B18),G18/B18," - ")</f>
        <v>225.66666666666666</v>
      </c>
      <c r="I18" s="849">
        <f>SUBTOTAL(9,I14:I17)</f>
        <v>2267</v>
      </c>
      <c r="J18" s="850">
        <f>IF(ISNUMBER(I18/B18),I18/B18," - ")</f>
        <v>755.66666666666663</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5422</v>
      </c>
      <c r="D19" s="795" t="str">
        <f>IF(ISNUMBER(C19/Datos!BI19),C19/Datos!BI19," - ")</f>
        <v xml:space="preserve"> - </v>
      </c>
      <c r="E19" s="794">
        <f>SUBTOTAL(9,E9:E18)</f>
        <v>1248</v>
      </c>
      <c r="F19" s="795">
        <f>IF(ISNUMBER(E19/B19),E19/B19," - ")</f>
        <v>416</v>
      </c>
      <c r="G19" s="794">
        <f>SUBTOTAL(9,G9:G18)</f>
        <v>1207</v>
      </c>
      <c r="H19" s="795">
        <f>IF(ISNUMBER(G19/B19),G19/B19," - ")</f>
        <v>402.33333333333331</v>
      </c>
      <c r="I19" s="794">
        <f>SUBTOTAL(9,I9:I18)</f>
        <v>5393</v>
      </c>
      <c r="J19" s="795">
        <f>IF(ISNUMBER(I19/B19),I19/B19," - ")</f>
        <v>1797.6666666666667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djnlrvnRVCWzQ1tAArVd0VC5nBDdAdmB1ztbq8hFC2rw4rKZp/b20NKlPdqJOEYDRVzygzoAnERy8+nxEgL8QQ==" saltValue="6KHFpsdJ6laVA9gXX1/K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LA RIOJA</v>
      </c>
      <c r="W1"/>
      <c r="X1"/>
    </row>
    <row r="2" spans="1:65" ht="16.5" customHeight="1">
      <c r="C2" s="488" t="str">
        <f>Criterios!A10 &amp;"  "&amp;Criterios!B10 &amp; "  " &amp; IF(NOT(ISBLANK(Criterios!A11)),Criterios!A11 &amp;"  "&amp;Criterios!B11,"")</f>
        <v>Provincias  LA RIOJA  Resumenes por Partidos Judiciales  CALAHORRA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63</v>
      </c>
      <c r="G10" s="684">
        <f>IF(ISNUMBER(Datos!I10),Datos!I10," - ")</f>
        <v>63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3054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125</v>
      </c>
      <c r="AM12" s="690">
        <f>IF(ISNUMBER(Datos!N12+DatosP!N16),Datos!N12+DatosP!N16," - ")</f>
        <v>166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18.08235294117647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2.5864964729593549E-2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63</v>
      </c>
      <c r="G13" s="938">
        <f t="shared" si="0"/>
        <v>63</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28</v>
      </c>
      <c r="AE13" s="939">
        <f t="shared" si="1"/>
        <v>0</v>
      </c>
      <c r="AF13" s="939">
        <f t="shared" si="1"/>
        <v>52</v>
      </c>
      <c r="AG13" s="939">
        <f t="shared" si="1"/>
        <v>0</v>
      </c>
      <c r="AH13" s="939">
        <f t="shared" si="1"/>
        <v>3054</v>
      </c>
      <c r="AI13" s="939">
        <f t="shared" si="1"/>
        <v>0</v>
      </c>
      <c r="AJ13" s="939">
        <f t="shared" si="1"/>
        <v>0</v>
      </c>
      <c r="AK13" s="939">
        <f t="shared" si="1"/>
        <v>0</v>
      </c>
      <c r="AL13" s="939">
        <f t="shared" si="1"/>
        <v>141</v>
      </c>
      <c r="AM13" s="939">
        <f t="shared" si="1"/>
        <v>166</v>
      </c>
      <c r="AN13" s="939">
        <f t="shared" si="1"/>
        <v>0</v>
      </c>
      <c r="AO13" s="939">
        <f t="shared" si="1"/>
        <v>0</v>
      </c>
      <c r="AP13" s="944">
        <f>IF(ISNUMBER(((Datos!L13/Datos!K13)*11)/factor_trimestre),((Datos!L13/Datos!K13)*11)/factor_trimestre," - ")</f>
        <v>17.9296875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-0.31746031746031744</v>
      </c>
      <c r="AU13" s="939" t="str">
        <f>IF(ISNUMBER((DatosP!#REF!-DatosP!#REF!+DatosP!#REF!)/(DatosP!#REF!+DatosP!#REF!-DatosP!#REF!-DatosP!#REF!)),(DatosP!#REF!-DatosP!#REF!+DatosP!#REF!)/(DatosP!#REF!+DatosP!#REF!-DatosP!#REF!-DatosP!#REF!)," - ")</f>
        <v xml:space="preserve"> - </v>
      </c>
      <c r="AV13" s="945">
        <f>SUBTOTAL(9,AV9:AV12)</f>
        <v>2.5864964729593549E-2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10.045790251107828</v>
      </c>
      <c r="AQ18" s="944">
        <f>IF(ISNUMBER(((Datos!M18/Datos!L18)*11)/factor_trimestre),((Datos!M18/Datos!L18)*11)/factor_trimestre," - ")</f>
        <v>0.13101014556682841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-4.4198895027624308E-2</v>
      </c>
      <c r="AW18" s="946">
        <f>IF(ISNUMBER((Datos!Q18-Datos!R18)/(Datos!S18-Datos!Q18+Datos!R18)),(Datos!Q18-Datos!R18)/(Datos!S18-Datos!Q18+Datos!R18)," - ")</f>
        <v>-0.10469798657718121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63</v>
      </c>
      <c r="G19" s="951">
        <f t="shared" si="4"/>
        <v>63</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28</v>
      </c>
      <c r="AE19" s="957">
        <f t="shared" si="5"/>
        <v>0</v>
      </c>
      <c r="AF19" s="958">
        <f t="shared" si="5"/>
        <v>52</v>
      </c>
      <c r="AG19" s="958">
        <f t="shared" si="5"/>
        <v>0</v>
      </c>
      <c r="AH19" s="958">
        <f t="shared" si="5"/>
        <v>3054</v>
      </c>
      <c r="AI19" s="958">
        <f t="shared" si="5"/>
        <v>0</v>
      </c>
      <c r="AJ19" s="959">
        <f t="shared" si="5"/>
        <v>0</v>
      </c>
      <c r="AK19" s="959">
        <f t="shared" si="5"/>
        <v>0</v>
      </c>
      <c r="AL19" s="951">
        <f t="shared" si="5"/>
        <v>141</v>
      </c>
      <c r="AM19" s="951">
        <f t="shared" si="5"/>
        <v>166</v>
      </c>
      <c r="AN19" s="951">
        <f t="shared" si="5"/>
        <v>0</v>
      </c>
      <c r="AO19" s="951">
        <f t="shared" si="5"/>
        <v>0</v>
      </c>
      <c r="AP19" s="951">
        <f>IF(ISNUMBER(((Datos!L19/Datos!K19)*11)/factor_trimestre),((Datos!L19/Datos!K19)*11)/factor_trimestre," - ")</f>
        <v>13.440706476030279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-0.31746031746031744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2.2641509433962263E-2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36.373066958946424</v>
      </c>
      <c r="G21" s="737">
        <f>IF(ISNUMBER(STDEV(G8:G18)),STDEV(G8:G18),"-")</f>
        <v>36.373066958946424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72.757588378578546</v>
      </c>
      <c r="AM21" s="736"/>
      <c r="AN21" s="736">
        <f>IF(ISNUMBER(STDEV(AN8:AN18)),STDEV(AN8:AN18),"-")</f>
        <v>0</v>
      </c>
      <c r="AO21" s="742">
        <f>IF(ISNUMBER(STDEV(AO8:AO18)),STDEV(AO8:AO18),"-")</f>
        <v>0</v>
      </c>
      <c r="AP21" s="779">
        <f>IF(ISNUMBER(STDEV(AP8:AP18)),STDEV(AP8:AP18),"-")</f>
        <v>5.3240523972657208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5ScEBqT9RlP1OHJTulT1LGtuMT6D2Gr5ilqLflntDuhi7WueTUfyjc8POGHJ1xp/08+HxGpE+bmaavNCTwQydQ==" saltValue="IlkIOe6OngHoTJp9/RjZQ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CALAHORRA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or3ZboL9oIiez2kiWl957q0/NsUM2iWutU2dzeJVSla/zUB4Xv0B6Gr+d4c9RMEFybw42v+DgC2CcPjUmGkmVA==" saltValue="jWG/pr9LBjKhGRMVqXmYn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LA RIOJA</v>
      </c>
      <c r="C2" s="391"/>
    </row>
    <row r="3" spans="1:9" ht="19.5">
      <c r="A3" s="425" t="s">
        <v>11</v>
      </c>
      <c r="B3" s="391" t="str">
        <f>Criterios!A10 &amp;"  "&amp;Criterios!B10</f>
        <v>Provincias  LA RIOJA</v>
      </c>
      <c r="C3" s="391"/>
      <c r="D3" s="425"/>
    </row>
    <row r="4" spans="1:9" ht="13.5" thickBot="1">
      <c r="B4" s="391" t="str">
        <f>Criterios!A11 &amp;"  "&amp;Criterios!B11</f>
        <v>Resumenes por Partidos Judiciales  CALAHORRA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16</v>
      </c>
      <c r="E10" s="404">
        <f>IF(ISNUMBER(D10/B10),D10/B10," - ")</f>
        <v>16</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125</v>
      </c>
      <c r="E12" s="404">
        <f t="shared" si="0"/>
        <v>41.666666666666664</v>
      </c>
      <c r="F12" s="403">
        <f>IF(ISNUMBER(Datos!N12),Datos!N12," - ")</f>
        <v>166</v>
      </c>
      <c r="G12" s="404">
        <f t="shared" si="1"/>
        <v>55.333333333333336</v>
      </c>
      <c r="H12" s="403">
        <f>IF(ISNUMBER(Datos!O12),Datos!O12," - ")</f>
        <v>238</v>
      </c>
      <c r="I12" s="404">
        <f t="shared" si="2"/>
        <v>79.333333333333329</v>
      </c>
    </row>
    <row r="13" spans="1:9" ht="14.25" thickTop="1" thickBot="1">
      <c r="A13" s="848" t="str">
        <f>Datos!A13</f>
        <v>TOTAL</v>
      </c>
      <c r="B13" s="849">
        <f>Datos!AO13</f>
        <v>4</v>
      </c>
      <c r="C13" s="851">
        <f>Datos!AR13</f>
        <v>3</v>
      </c>
      <c r="D13" s="849">
        <f>SUBTOTAL(9,D9:D12)</f>
        <v>141</v>
      </c>
      <c r="E13" s="850">
        <f t="shared" si="0"/>
        <v>35.25</v>
      </c>
      <c r="F13" s="849">
        <f>SUBTOTAL(9,F9:F12)</f>
        <v>166</v>
      </c>
      <c r="G13" s="850">
        <f t="shared" si="1"/>
        <v>41.5</v>
      </c>
      <c r="H13" s="849">
        <f>SUBTOTAL(9,H9:H12)</f>
        <v>238</v>
      </c>
      <c r="I13" s="850">
        <f>IF(ISNUMBER(H13/B13),H13/B13," - ")</f>
        <v>59.5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89</v>
      </c>
      <c r="E16" s="404">
        <f t="shared" si="3"/>
        <v>29.666666666666668</v>
      </c>
      <c r="F16" s="403">
        <f>IF(ISNUMBER(Datos!N16),Datos!N16," - ")</f>
        <v>334</v>
      </c>
      <c r="G16" s="404">
        <f t="shared" si="4"/>
        <v>111.33333333333333</v>
      </c>
      <c r="H16" s="403">
        <f>IF(ISNUMBER(Datos!O16),Datos!O16," - ")</f>
        <v>1</v>
      </c>
      <c r="I16" s="404">
        <f t="shared" si="5"/>
        <v>0.33333333333333331</v>
      </c>
    </row>
    <row r="17" spans="1:9"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43</v>
      </c>
      <c r="G17" s="404">
        <f>IF(ISNUMBER(F17/B17),F17/B17," - ")</f>
        <v>43</v>
      </c>
      <c r="H17" s="403">
        <f>IF(ISNUMBER(Datos!O17),Datos!O17," - ")</f>
        <v>0</v>
      </c>
      <c r="I17" s="404">
        <f t="shared" si="5"/>
        <v>0</v>
      </c>
    </row>
    <row r="18" spans="1:9" ht="14.25" thickTop="1" thickBot="1">
      <c r="A18" s="848" t="str">
        <f>Datos!A18</f>
        <v>TOTAL</v>
      </c>
      <c r="B18" s="849">
        <f>Datos!AO18</f>
        <v>4</v>
      </c>
      <c r="C18" s="851">
        <f>Datos!AR18</f>
        <v>3</v>
      </c>
      <c r="D18" s="849">
        <f>SUBTOTAL(9,D15:D17)</f>
        <v>99</v>
      </c>
      <c r="E18" s="850">
        <f t="shared" si="3"/>
        <v>24.75</v>
      </c>
      <c r="F18" s="849">
        <f>SUBTOTAL(9,F15:F17)</f>
        <v>377</v>
      </c>
      <c r="G18" s="850">
        <f t="shared" si="4"/>
        <v>94.25</v>
      </c>
      <c r="H18" s="849">
        <f>SUBTOTAL(9,H15:H17)</f>
        <v>1</v>
      </c>
      <c r="I18" s="850">
        <f>IF(ISNUMBER(H18/B18),H18/B18," - ")</f>
        <v>0.25</v>
      </c>
    </row>
    <row r="19" spans="1:9" ht="14.25" thickTop="1" thickBot="1">
      <c r="A19" s="793" t="str">
        <f>Datos!A19</f>
        <v>TOTAL JURISDICCIONES</v>
      </c>
      <c r="B19" s="794">
        <f>Datos!AP19</f>
        <v>3</v>
      </c>
      <c r="C19" s="794">
        <f>Datos!AR19</f>
        <v>3</v>
      </c>
      <c r="D19" s="794">
        <f>SUBTOTAL(9,D8:D18)</f>
        <v>240</v>
      </c>
      <c r="E19" s="795">
        <f>IF(ISNUMBER(D19/B19),D19/B19," - ")</f>
        <v>80</v>
      </c>
      <c r="F19" s="794">
        <f>SUBTOTAL(9,F8:F18)</f>
        <v>543</v>
      </c>
      <c r="G19" s="795">
        <f>IF(ISNUMBER(F19/B19),F19/B19," - ")</f>
        <v>181</v>
      </c>
      <c r="H19" s="794">
        <f>SUBTOTAL(9,H8:H18)</f>
        <v>239</v>
      </c>
      <c r="I19" s="795">
        <f>IF(ISNUMBER(H19/B19),H19/B19," - ")</f>
        <v>79.666666666666671</v>
      </c>
    </row>
    <row r="22" spans="1:9">
      <c r="A22" s="391" t="str">
        <f>Criterios!A4</f>
        <v>Fecha Informe: 29 may. 2024</v>
      </c>
    </row>
    <row r="27" spans="1:9">
      <c r="A27" s="414"/>
    </row>
  </sheetData>
  <sheetProtection algorithmName="SHA-512" hashValue="9uBhDy6B7gea6TAzjAHw5SYDZicFBWUeSlMb3mSbdUG9JHpXyt0fwD9BosQ7kTzgs75NwxKaIQa2xFgnw5/X9w==" saltValue="qclGy/MZLV5Fjucewo3zl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CALAHORRA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25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105</v>
      </c>
      <c r="C12" s="434">
        <f>IF(ISNUMBER(Datos!Q12),Datos!Q12," - ")</f>
        <v>28</v>
      </c>
      <c r="D12" s="408">
        <f>IF(ISNUMBER(Datos!R12),Datos!R12," - ")</f>
        <v>3054</v>
      </c>
    </row>
    <row r="13" spans="1:4" ht="14.25" thickTop="1" thickBot="1">
      <c r="A13" s="848" t="str">
        <f>Datos!A13</f>
        <v>TOTAL</v>
      </c>
      <c r="B13" s="849">
        <f>SUBTOTAL(9,B9:B12)</f>
        <v>108</v>
      </c>
      <c r="C13" s="853">
        <f>SUBTOTAL(9,C9:C12)</f>
        <v>28</v>
      </c>
      <c r="D13" s="851">
        <f>SUBTOTAL(9,D9:D12)</f>
        <v>3079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12</v>
      </c>
      <c r="D16" s="408">
        <f>IF(ISNUMBER(Datos!R16),Datos!R16," - ")</f>
        <v>171</v>
      </c>
    </row>
    <row r="17" spans="1:4" ht="13.5" thickBot="1">
      <c r="A17" s="402" t="str">
        <f>Datos!A17</f>
        <v>Jdos. Violencia contra la mujer</v>
      </c>
      <c r="B17" s="433">
        <f>IF(ISNUMBER(Datos!P17),Datos!P17," - ")</f>
        <v>0</v>
      </c>
      <c r="C17" s="434">
        <f>IF(ISNUMBER(Datos!Q17),Datos!Q17," - ")</f>
        <v>5</v>
      </c>
      <c r="D17" s="408">
        <f>IF(ISNUMBER(Datos!R17),Datos!R17," - ")</f>
        <v>2</v>
      </c>
    </row>
    <row r="18" spans="1:4" ht="14.25" thickTop="1" thickBot="1">
      <c r="A18" s="848" t="str">
        <f>Datos!A18</f>
        <v>TOTAL</v>
      </c>
      <c r="B18" s="849">
        <f>SUBTOTAL(9,B15:B17)</f>
        <v>9</v>
      </c>
      <c r="C18" s="853">
        <f>SUBTOTAL(9,C15:C17)</f>
        <v>17</v>
      </c>
      <c r="D18" s="851">
        <f>SUBTOTAL(9,D15:D17)</f>
        <v>173</v>
      </c>
    </row>
    <row r="19" spans="1:4" ht="16.5" customHeight="1" thickTop="1" thickBot="1">
      <c r="A19" s="793" t="str">
        <f>Datos!A19</f>
        <v>TOTAL JURISDICCIONES</v>
      </c>
      <c r="B19" s="798">
        <f>SUBTOTAL(9,B8:B18)</f>
        <v>117</v>
      </c>
      <c r="C19" s="799">
        <f>SUBTOTAL(9,C8:C18)</f>
        <v>45</v>
      </c>
      <c r="D19" s="800">
        <f>SUBTOTAL(9,D8:D18)</f>
        <v>3252</v>
      </c>
    </row>
    <row r="20" spans="1:4" ht="7.5" customHeight="1"/>
    <row r="21" spans="1:4" ht="6" customHeight="1"/>
    <row r="22" spans="1:4">
      <c r="A22" s="391" t="str">
        <f>Criterios!A4</f>
        <v>Fecha Informe: 29 may. 2024</v>
      </c>
    </row>
    <row r="27" spans="1:4">
      <c r="A27" s="414"/>
    </row>
  </sheetData>
  <sheetProtection algorithmName="SHA-512" hashValue="+JoGWqJy0YI+ZXYtJD2506tNJiCLeRT/U7NCLonM2pIIekmn0nelPcAZqB792TKrWzUSMh9nqNPSZ7sWF5+jYg==" saltValue="736joUQlBWAyoF1ZJkN5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CALAHORRA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0.65789473684210531</v>
      </c>
      <c r="C10" s="456">
        <f>IF(ISNUMBER((Datos!J10-Datos!T10)/Datos!T10),(Datos!J10-Datos!T10)/Datos!T10," - ")</f>
        <v>-0.1</v>
      </c>
      <c r="D10" s="456">
        <f>IF(ISNUMBER((Datos!K10-Datos!U10)/Datos!U10),(Datos!K10-Datos!U10)/Datos!U10," - ")</f>
        <v>19</v>
      </c>
      <c r="E10" s="456">
        <f>IF(ISNUMBER((Datos!L10-Datos!V10)/Datos!V10),(Datos!L10-Datos!V10)/Datos!V10," - ")</f>
        <v>0.10638297872340426</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21.222222222222221</v>
      </c>
      <c r="I10" s="456">
        <f>IF(ISNUMBER(((NºAsuntos!I10/NºAsuntos!G10)-Datos!BE10)/Datos!BE10),((NºAsuntos!I10/NºAsuntos!G10)-Datos!BE10)/Datos!BE10," - ")</f>
        <v>-0.94468085106382971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-0.92499999999999993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0.70232031692133556</v>
      </c>
      <c r="C12" s="456">
        <f>IF(ISNUMBER(
   IF(J_V="SI",(Datos!J12-Datos!T12)/Datos!T12,(Datos!J12+Datos!Z12-(Datos!T12+Datos!AH12))/(Datos!T12+Datos!AH12))
     ),IF(J_V="SI",(Datos!J12-Datos!T12)/Datos!T12,(Datos!J12+Datos!Z12-(Datos!T12+Datos!AH12))/(Datos!T12+Datos!AH12))," - ")</f>
        <v>0.10727969348659004</v>
      </c>
      <c r="D12" s="456">
        <f>IF(ISNUMBER(
   IF(J_V="SI",(Datos!K12-Datos!U12)/Datos!U12,(Datos!K12+Datos!AA12-(Datos!U12+Datos!AI12))/(Datos!U12+Datos!AI12))
     ),IF(J_V="SI",(Datos!K12-Datos!U12)/Datos!U12,(Datos!K12+Datos!AA12-(Datos!U12+Datos!AI12))/(Datos!U12+Datos!AI12))," - ")</f>
        <v>2.75</v>
      </c>
      <c r="E12" s="456">
        <f>IF(ISNUMBER(
   IF(J_V="SI",(Datos!L12-Datos!V12)/Datos!V12,(Datos!L12+Datos!AB12-(Datos!V12+Datos!AJ12))/(Datos!V12+Datos!AJ12))
     ),IF(J_V="SI",(Datos!L12-Datos!V12)/Datos!V12,(Datos!L12+Datos!AB12-(Datos!V12+Datos!AJ12))/(Datos!V12+Datos!AJ12))," - ")</f>
        <v>0.42777519739897818</v>
      </c>
      <c r="F12" s="456">
        <f>IF(ISNUMBER((Datos!M12-Datos!W12)/Datos!W12),(Datos!M12-Datos!W12)/Datos!W12," - ")</f>
        <v>2.125</v>
      </c>
      <c r="G12" s="457">
        <f>IF(ISNUMBER((Datos!N12-Datos!X12)/Datos!X12),(Datos!N12-Datos!X12)/Datos!X12," - ")</f>
        <v>3.0487804878048781</v>
      </c>
      <c r="H12" s="455">
        <f>IF(ISNUMBER(((NºAsuntos!G12/NºAsuntos!E12)-Datos!BD12)/Datos!BD12),((NºAsuntos!G12/NºAsuntos!E12)-Datos!BD12)/Datos!BD12," - ")</f>
        <v>2.3866782006920415</v>
      </c>
      <c r="I12" s="456">
        <f>IF(ISNUMBER(((NºAsuntos!I12/NºAsuntos!G12)-Datos!BE12)/Datos!BE12),((NºAsuntos!I12/NºAsuntos!G12)-Datos!BE12)/Datos!BE12," - ")</f>
        <v>-0.61925994736027246</v>
      </c>
      <c r="J12" s="461">
        <f>IF(ISNUMBER((('Resol  Asuntos'!D12/NºAsuntos!G12)-Datos!BF12)/Datos!BF12),(('Resol  Asuntos'!D12/NºAsuntos!G12)-Datos!BF12)/Datos!BF12," - ")</f>
        <v>-0.18699186991869918</v>
      </c>
      <c r="K12" s="462">
        <f>IF(ISNUMBER((((NºAsuntos!C12+NºAsuntos!E12)/NºAsuntos!G12)-Datos!BG12)/Datos!BG12),(((NºAsuntos!C12+NºAsuntos!E12)/NºAsuntos!G12)-Datos!BG12)/Datos!BG12," - ")</f>
        <v>-0.58223387214212907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0.70138504155124659</v>
      </c>
      <c r="C13" s="855">
        <f>IF(ISNUMBER(
   IF(J_V="SI",(Datos!J13-Datos!T13)/Datos!T13,(Datos!J13+Datos!Z13-(Datos!T13+Datos!AH13))/(Datos!T13+Datos!AH13))
     ),IF(J_V="SI",(Datos!J13-Datos!T13)/Datos!T13,(Datos!J13+Datos!Z13-(Datos!T13+Datos!AH13))/(Datos!T13+Datos!AH13))," - ")</f>
        <v>0.10338345864661654</v>
      </c>
      <c r="D13" s="855">
        <f>IF(ISNUMBER(
   IF(J_V="SI",(Datos!K13-Datos!U13)/Datos!U13,(Datos!K13+Datos!AA13-(Datos!U13+Datos!AI13))/(Datos!U13+Datos!AI13))
     ),IF(J_V="SI",(Datos!K13-Datos!U13)/Datos!U13,(Datos!K13+Datos!AA13-(Datos!U13+Datos!AI13))/(Datos!U13+Datos!AI13))," - ")</f>
        <v>2.8686131386861313</v>
      </c>
      <c r="E13" s="855">
        <f>IF(ISNUMBER(
   IF(J_V="SI",(Datos!L13-Datos!V13)/Datos!V13,(Datos!L13+Datos!AB13-(Datos!V13+Datos!AJ13))/(Datos!V13+Datos!AJ13))
     ),IF(J_V="SI",(Datos!L13-Datos!V13)/Datos!V13,(Datos!L13+Datos!AB13-(Datos!V13+Datos!AJ13))/(Datos!V13+Datos!AJ13))," - ")</f>
        <v>0.4209090909090909</v>
      </c>
      <c r="F13" s="856">
        <f>IF(ISNUMBER((Datos!M13-Datos!W13)/Datos!W13),(Datos!M13-Datos!W13)/Datos!W13," - ")</f>
        <v>2.5249999999999999</v>
      </c>
      <c r="G13" s="857">
        <f>IF(ISNUMBER((Datos!N13-Datos!X13)/Datos!X13),(Datos!N13-Datos!X13)/Datos!X13," - ")</f>
        <v>3.0487804878048781</v>
      </c>
      <c r="H13" s="857">
        <f>IF(ISNUMBER(((NºAsuntos!G13/NºAsuntos!E13)-Datos!BD13)/Datos!BD13),((NºAsuntos!G13/NºAsuntos!E13)-Datos!BD13)/Datos!BD13," - ")</f>
        <v>2.5061366095077031</v>
      </c>
      <c r="I13" s="857">
        <f>IF(ISNUMBER(((NºAsuntos!I13/NºAsuntos!G13)-Datos!BE13)/Datos!BE13),((NºAsuntos!I13/NºAsuntos!G13)-Datos!BE13)/Datos!BE13," - ")</f>
        <v>-0.63270840480274448</v>
      </c>
      <c r="J13" s="857">
        <f>IF(ISNUMBER((('Resol  Asuntos'!D13/NºAsuntos!G13)-Datos!BF13)/Datos!BF13),(('Resol  Asuntos'!D13/NºAsuntos!G13)-Datos!BF13)/Datos!BF13," - ")</f>
        <v>-0.11104463874827436</v>
      </c>
      <c r="K13" s="857">
        <f>IF(ISNUMBER((((NºAsuntos!C13+NºAsuntos!E13)/NºAsuntos!G13)-Datos!BG13)/Datos!BG13),(((NºAsuntos!C13+NºAsuntos!E13)/NºAsuntos!G13)-Datos!BG13)/Datos!BG13," - ")</f>
        <v>-0.59539645247495177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0.79441624365482233</v>
      </c>
      <c r="C16" s="456">
        <f>IF(ISNUMBER(
   IF(D_I="SI",(Datos!J16-Datos!T16)/Datos!T16,(Datos!J16+Datos!AD16-(Datos!T16+Datos!AL16))/(Datos!T16+Datos!AL16))
     ),IF(D_I="SI",(Datos!J16-Datos!T16)/Datos!T16,(Datos!J16+Datos!AD16-(Datos!T16+Datos!AL16))/(Datos!T16+Datos!AL16))," - ")</f>
        <v>2.5466893039049237E-2</v>
      </c>
      <c r="D16" s="456">
        <f>IF(ISNUMBER(
   IF(D_I="SI",(Datos!K16-Datos!U16)/Datos!U16,(Datos!K16+Datos!AE16-(Datos!U16+Datos!AM16))/(Datos!U16+Datos!AM16))
     ),IF(D_I="SI",(Datos!K16-Datos!U16)/Datos!U16,(Datos!K16+Datos!AE16-(Datos!U16+Datos!AM16))/(Datos!U16+Datos!AM16))," - ")</f>
        <v>0.52442159383033415</v>
      </c>
      <c r="E16" s="456">
        <f>IF(ISNUMBER(
   IF(D_I="SI",(Datos!L16-Datos!V16)/Datos!V16,(Datos!L16+Datos!AF16-(Datos!V16+Datos!AN16))/(Datos!V16+Datos!AN16))
     ),IF(D_I="SI",(Datos!L16-Datos!V16)/Datos!V16,(Datos!L16+Datos!AF16-(Datos!V16+Datos!AN16))/(Datos!V16+Datos!AN16))," - ")</f>
        <v>0.51224783861671475</v>
      </c>
      <c r="F16" s="456">
        <f>IF(ISNUMBER((Datos!M16-Datos!W16)/Datos!W16),(Datos!M16-Datos!W16)/Datos!W16," - ")</f>
        <v>0.45901639344262296</v>
      </c>
      <c r="G16" s="457">
        <f>IF(ISNUMBER((Datos!N16-Datos!X16)/Datos!X16),(Datos!N16-Datos!X16)/Datos!X16," - ")</f>
        <v>1.2876712328767124</v>
      </c>
      <c r="H16" s="455">
        <f>IF(ISNUMBER(((NºAsuntos!G16/NºAsuntos!E16)-Datos!BD16)/Datos!BD16),((NºAsuntos!G16/NºAsuntos!E16)-Datos!BD16)/Datos!BD16," - ")</f>
        <v>0.4865634416656735</v>
      </c>
      <c r="I16" s="456">
        <f>IF(ISNUMBER(((NºAsuntos!I16/NºAsuntos!G16)-Datos!BE16)/Datos!BE16),((NºAsuntos!I16/NºAsuntos!G16)-Datos!BE16)/Datos!BE16," - ")</f>
        <v>-7.9858191873491309E-3</v>
      </c>
      <c r="J16" s="461">
        <f>IF(ISNUMBER((('Resol  Asuntos'!D16/NºAsuntos!G16)-Datos!BF16)/Datos!BF16),(('Resol  Asuntos'!D16/NºAsuntos!G16)-Datos!BF16)/Datos!BF16," - ")</f>
        <v>-4.2904929090758243E-2</v>
      </c>
      <c r="K16" s="462">
        <f>IF(ISNUMBER((((NºAsuntos!C16+NºAsuntos!E16)/NºAsuntos!G16)-Datos!BG16)/Datos!BG16),(((NºAsuntos!C16+NºAsuntos!E16)/NºAsuntos!G16)-Datos!BG16)/Datos!BG16," - ")</f>
        <v>9.3524775686224908E-3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0.51315789473684215</v>
      </c>
      <c r="C17" s="456">
        <f>IF(ISNUMBER(
   IF(D_I="SI",(Datos!J17-Datos!T17)/Datos!T17,(Datos!J17+Datos!AD17-(Datos!T17+Datos!AL17))/(Datos!T17+Datos!AL17))
     ),IF(D_I="SI",(Datos!J17-Datos!T17)/Datos!T17,(Datos!J17+Datos!AD17-(Datos!T17+Datos!AL17))/(Datos!T17+Datos!AL17))," - ")</f>
        <v>-0.47706422018348627</v>
      </c>
      <c r="D17" s="456">
        <f>IF(ISNUMBER(
   IF(D_I="SI",(Datos!K17-Datos!U17)/Datos!U17,(Datos!K17+Datos!AE17-(Datos!U17+Datos!AM17))/(Datos!U17+Datos!AM17))
     ),IF(D_I="SI",(Datos!K17-Datos!U17)/Datos!U17,(Datos!K17+Datos!AE17-(Datos!U17+Datos!AM17))/(Datos!U17+Datos!AM17))," - ")</f>
        <v>2.4390243902439025E-2</v>
      </c>
      <c r="E17" s="456">
        <f>IF(ISNUMBER(
   IF(D_I="SI",(Datos!L17-Datos!V17)/Datos!V17,(Datos!L17+Datos!AF17-(Datos!V17+Datos!AN17))/(Datos!V17+Datos!AN17))
     ),IF(D_I="SI",(Datos!L17-Datos!V17)/Datos!V17,(Datos!L17+Datos!AF17-(Datos!V17+Datos!AN17))/(Datos!V17+Datos!AN17))," - ")</f>
        <v>-6.1452513966480445E-2</v>
      </c>
      <c r="F17" s="456">
        <f>IF(ISNUMBER((Datos!M17-Datos!W17)/Datos!W17),(Datos!M17-Datos!W17)/Datos!W17," - ")</f>
        <v>-0.16666666666666666</v>
      </c>
      <c r="G17" s="457">
        <f>IF(ISNUMBER((Datos!N17-Datos!X17)/Datos!X17),(Datos!N17-Datos!X17)/Datos!X17," - ")</f>
        <v>-0.18867924528301888</v>
      </c>
      <c r="H17" s="455">
        <f>IF(ISNUMBER(((NºAsuntos!G17/NºAsuntos!E17)-Datos!BD17)/Datos!BD17),((NºAsuntos!G17/NºAsuntos!E17)-Datos!BD17)/Datos!BD17," - ")</f>
        <v>0.95892169448010245</v>
      </c>
      <c r="I17" s="456">
        <f>IF(ISNUMBER(((NºAsuntos!I17/NºAsuntos!G17)-Datos!BE17)/Datos!BE17),((NºAsuntos!I17/NºAsuntos!G17)-Datos!BE17)/Datos!BE17," - ")</f>
        <v>-8.379888268156431E-2</v>
      </c>
      <c r="J17" s="461">
        <f>IF(ISNUMBER((('Resol  Asuntos'!D17/NºAsuntos!G17)-Datos!BF17)/Datos!BF17),(('Resol  Asuntos'!D17/NºAsuntos!G17)-Datos!BF17)/Datos!BF17," - ")</f>
        <v>-0.18650793650793651</v>
      </c>
      <c r="K17" s="462">
        <f>IF(ISNUMBER((((NºAsuntos!C17+NºAsuntos!E17)/NºAsuntos!G17)-Datos!BG17)/Datos!BG17),(((NºAsuntos!C17+NºAsuntos!E17)/NºAsuntos!G17)-Datos!BG17)/Datos!BG17," - ")</f>
        <v>7.3435504469987131E-2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0.76236881559220393</v>
      </c>
      <c r="C18" s="855">
        <f>IF(ISNUMBER(
   IF(Criterios!B14="SI",(Datos!J18-Datos!T18)/Datos!T18,(Datos!J18+Datos!AD18-(Datos!T18+Datos!AL18))/(Datos!T18+Datos!AL18))
     ),IF(Criterios!B14="SI",(Datos!J18-Datos!T18)/Datos!T18,(Datos!J18+Datos!AD18-(Datos!T18+Datos!AL18))/(Datos!T18+Datos!AL18))," - ")</f>
        <v>-5.300859598853868E-2</v>
      </c>
      <c r="D18" s="855">
        <f>IF(ISNUMBER(
   IF(Criterios!B14="SI",(Datos!K18-Datos!U18)/Datos!U18,(Datos!K18+Datos!AE18-(Datos!U18+Datos!AM18))/(Datos!U18+Datos!AM18))
     ),IF(Criterios!B14="SI",(Datos!K18-Datos!U18)/Datos!U18,(Datos!K18+Datos!AE18-(Datos!U18+Datos!AM18))/(Datos!U18+Datos!AM18))," - ")</f>
        <v>0.43736730360934184</v>
      </c>
      <c r="E18" s="855">
        <f>IF(ISNUMBER(
   IF(Criterios!B14="SI",(Datos!L18-Datos!V18)/Datos!V18,(Datos!L18+Datos!AF18-(Datos!V18+Datos!AN18))/(Datos!V18+Datos!AN18))
     ),IF(Criterios!B14="SI",(Datos!L18-Datos!V18)/Datos!V18,(Datos!L18+Datos!AF18-(Datos!V18+Datos!AN18))/(Datos!V18+Datos!AN18))," - ")</f>
        <v>0.44671346522016592</v>
      </c>
      <c r="F18" s="856">
        <f>IF(ISNUMBER((Datos!M18-Datos!W18)/Datos!W18),(Datos!M18-Datos!W18)/Datos!W18," - ")</f>
        <v>0.35616438356164382</v>
      </c>
      <c r="G18" s="857">
        <f>IF(ISNUMBER((Datos!N18-Datos!X18)/Datos!X18),(Datos!N18-Datos!X18)/Datos!X18," - ")</f>
        <v>0.89447236180904521</v>
      </c>
      <c r="H18" s="857">
        <f>IF(ISNUMBER(((NºAsuntos!G18/NºAsuntos!E18)-Datos!BD18)/Datos!BD18),((NºAsuntos!G18/NºAsuntos!E18)-Datos!BD18)/Datos!BD18," - ")</f>
        <v>0.51782508005948658</v>
      </c>
      <c r="I18" s="857">
        <f>IF(ISNUMBER(((NºAsuntos!I18/NºAsuntos!G18)-Datos!BE18)/Datos!BE18),((NºAsuntos!I18/NºAsuntos!G18)-Datos!BE18)/Datos!BE18," - ")</f>
        <v>6.5022778710460199E-3</v>
      </c>
      <c r="J18" s="857">
        <f>IF(ISNUMBER((('Resol  Asuntos'!D18/NºAsuntos!G18)-Datos!BF18)/Datos!BF18),(('Resol  Asuntos'!D18/NºAsuntos!G18)-Datos!BF18)/Datos!BF18," - ")</f>
        <v>-5.6494202869225678E-2</v>
      </c>
      <c r="K18" s="857">
        <f>IF(ISNUMBER((((NºAsuntos!C18+NºAsuntos!E18)/NºAsuntos!G18)-Datos!BG18)/Datos!BG18),(((NºAsuntos!C18+NºAsuntos!E18)/NºAsuntos!G18)-Datos!BG18)/Datos!BG18," - ")</f>
        <v>3.1248909617464821E-2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0.72730168843580756</v>
      </c>
      <c r="C19" s="802">
        <f>IF(ISNUMBER(
   IF(J_V="SI",(Datos!J19-Datos!T19)/Datos!T19,(Datos!J19+Datos!Z19-(Datos!T19+Datos!AH19))/(Datos!T19+Datos!AH19))
     ),IF(J_V="SI",(Datos!J19-Datos!T19)/Datos!T19,(Datos!J19+Datos!Z19-(Datos!T19+Datos!AH19))/(Datos!T19+Datos!AH19))," - ")</f>
        <v>1.4634146341463415E-2</v>
      </c>
      <c r="D19" s="802">
        <f>IF(ISNUMBER(
   IF(J_V="SI",(Datos!K19-Datos!U19)/Datos!U19,(Datos!K19+Datos!AA19-(Datos!U19+Datos!AI19))/(Datos!U19+Datos!AI19))
     ),IF(J_V="SI",(Datos!K19-Datos!U19)/Datos!U19,(Datos!K19+Datos!AA19-(Datos!U19+Datos!AI19))/(Datos!U19+Datos!AI19))," - ")</f>
        <v>0.98519736842105265</v>
      </c>
      <c r="E19" s="802">
        <f>IF(ISNUMBER(
   IF(J_V="SI",(Datos!L19-Datos!V19)/Datos!V19,(Datos!L19+Datos!AB19-(Datos!V19+Datos!AJ19))/(Datos!V19+Datos!AJ19))
     ),IF(J_V="SI",(Datos!L19-Datos!V19)/Datos!V19,(Datos!L19+Datos!AB19-(Datos!V19+Datos!AJ19))/(Datos!V19+Datos!AJ19))," - ")</f>
        <v>0.4316432174143881</v>
      </c>
      <c r="F19" s="803">
        <f>IF(ISNUMBER((Datos!M19-Datos!W19)/Datos!W19),(Datos!M19-Datos!W19)/Datos!W19," - ")</f>
        <v>1.1238938053097345</v>
      </c>
      <c r="G19" s="804">
        <f>IF(ISNUMBER((Datos!N19-Datos!X19)/Datos!X19),(Datos!N19-Datos!X19)/Datos!X19," - ")</f>
        <v>1.2625</v>
      </c>
      <c r="H19" s="805">
        <f>IF(ISNUMBER((Tasas!B19-Datos!BD19)/Datos!BD19),(Tasas!B19-Datos!BD19)/Datos!BD19," - ")</f>
        <v>0.95656471406882582</v>
      </c>
      <c r="I19" s="806">
        <f>IF(ISNUMBER((Tasas!C19-Datos!BE19)/Datos!BE19),(Tasas!C19-Datos!BE19)/Datos!BE19," - ")</f>
        <v>-0.2788408647987175</v>
      </c>
      <c r="J19" s="807">
        <f>IF(ISNUMBER((Tasas!D19-Datos!BF19)/Datos!BF19),(Tasas!D19-Datos!BF19)/Datos!BF19," - ")</f>
        <v>6.0480530240265118E-2</v>
      </c>
      <c r="K19" s="807">
        <f>IF(ISNUMBER((Tasas!E19-Datos!BG19)/Datos!BG19),(Tasas!E19-Datos!BG19)/Datos!BG19," - ")</f>
        <v>-0.23097563746081021</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RUQ6BtBTP9e5V0QmhgDRXKNcrpxeLermKa+LK2IsRL7A5aX8Dl5PILL++g4ihmRJgmbpH4pKWtcgpywYpfKmg==" saltValue="0e3kfl4u16DzEoQTmXjZ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CALAHORRA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2.2222222222222223</v>
      </c>
      <c r="C10" s="443">
        <f>IF(ISNUMBER(NºAsuntos!I10/NºAsuntos!G10),NºAsuntos!I10/NºAsuntos!G10," - ")</f>
        <v>2.6</v>
      </c>
      <c r="D10" s="444">
        <f>IF(ISNUMBER('Resol  Asuntos'!D10/NºAsuntos!G10),'Resol  Asuntos'!D10/NºAsuntos!G10," - ")</f>
        <v>0.8</v>
      </c>
      <c r="E10" s="445">
        <f>IF(ISNUMBER((NºAsuntos!C10+NºAsuntos!E10)/NºAsuntos!G10),(NºAsuntos!C10+NºAsuntos!E10)/NºAsuntos!G10," - ")</f>
        <v>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0.88235294117647056</v>
      </c>
      <c r="C12" s="443">
        <f>IF(ISNUMBER(NºAsuntos!I12/NºAsuntos!G12),NºAsuntos!I12/NºAsuntos!G12," - ")</f>
        <v>6.0274509803921568</v>
      </c>
      <c r="D12" s="444">
        <f>IF(ISNUMBER('Resol  Asuntos'!D12/NºAsuntos!G12),'Resol  Asuntos'!D12/NºAsuntos!G12," - ")</f>
        <v>0.24509803921568626</v>
      </c>
      <c r="E12" s="445">
        <f>IF(ISNUMBER((NºAsuntos!C12+NºAsuntos!E12)/NºAsuntos!G12),(NºAsuntos!C12+NºAsuntos!E12)/NºAsuntos!G12," - ")</f>
        <v>7.0313725490196077</v>
      </c>
      <c r="G12" s="463"/>
    </row>
    <row r="13" spans="1:7" ht="14.25" thickTop="1" thickBot="1">
      <c r="A13" s="848" t="str">
        <f>Datos!A13</f>
        <v>TOTAL</v>
      </c>
      <c r="B13" s="858">
        <f>IF(ISNUMBER(NºAsuntos!G13/NºAsuntos!E13),NºAsuntos!G13/NºAsuntos!E13," - ")</f>
        <v>0.90289608177172065</v>
      </c>
      <c r="C13" s="859">
        <f>IF(ISNUMBER(NºAsuntos!I13/NºAsuntos!G13),NºAsuntos!I13/NºAsuntos!G13," - ")</f>
        <v>5.8981132075471701</v>
      </c>
      <c r="D13" s="860">
        <f>IF(ISNUMBER('Resol  Asuntos'!D13/NºAsuntos!G13),'Resol  Asuntos'!D13/NºAsuntos!G13," - ")</f>
        <v>0.2660377358490566</v>
      </c>
      <c r="E13" s="861">
        <f>IF(ISNUMBER((NºAsuntos!C13+NºAsuntos!E13)/NºAsuntos!G13),(NºAsuntos!C13+NºAsuntos!E13)/NºAsuntos!G13," - ")</f>
        <v>6.9018867924528298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0.98178807947019864</v>
      </c>
      <c r="C16" s="443">
        <f>IF(ISNUMBER(NºAsuntos!I16/NºAsuntos!G16),NºAsuntos!I16/NºAsuntos!G16," - ")</f>
        <v>3.5396290050590218</v>
      </c>
      <c r="D16" s="444">
        <f>IF(ISNUMBER('Resol  Asuntos'!D16/NºAsuntos!G16),'Resol  Asuntos'!D16/NºAsuntos!G16," - ")</f>
        <v>0.15008431703204048</v>
      </c>
      <c r="E16" s="445">
        <f>IF(ISNUMBER((NºAsuntos!C16+NºAsuntos!E16)/NºAsuntos!G16),(NºAsuntos!C16+NºAsuntos!E16)/NºAsuntos!G16," - ")</f>
        <v>4.5952782462057336</v>
      </c>
      <c r="G16" s="463"/>
    </row>
    <row r="17" spans="1:7" ht="13.5" thickBot="1">
      <c r="A17" s="402" t="str">
        <f>Datos!A17</f>
        <v>Jdos. Violencia contra la mujer</v>
      </c>
      <c r="B17" s="442">
        <f>IF(ISNUMBER(NºAsuntos!G17/NºAsuntos!E17),NºAsuntos!G17/NºAsuntos!E17," - ")</f>
        <v>1.4736842105263157</v>
      </c>
      <c r="C17" s="443">
        <f>IF(ISNUMBER(NºAsuntos!I17/NºAsuntos!G17),NºAsuntos!I17/NºAsuntos!G17," - ")</f>
        <v>2</v>
      </c>
      <c r="D17" s="444">
        <f>IF(ISNUMBER('Resol  Asuntos'!D17/NºAsuntos!G17),'Resol  Asuntos'!D17/NºAsuntos!G17," - ")</f>
        <v>0.11904761904761904</v>
      </c>
      <c r="E17" s="445">
        <f>IF(ISNUMBER((NºAsuntos!C17+NºAsuntos!E17)/NºAsuntos!G17),(NºAsuntos!C17+NºAsuntos!E17)/NºAsuntos!G17," - ")</f>
        <v>3.4166666666666665</v>
      </c>
      <c r="G17" s="463"/>
    </row>
    <row r="18" spans="1:7" ht="14.25" thickTop="1" thickBot="1">
      <c r="A18" s="848" t="str">
        <f>Datos!A18</f>
        <v>TOTAL</v>
      </c>
      <c r="B18" s="858">
        <f>IF(ISNUMBER(NºAsuntos!G18/NºAsuntos!E18),NºAsuntos!G18/NºAsuntos!E18," - ")</f>
        <v>1.0242057488653555</v>
      </c>
      <c r="C18" s="859">
        <f>IF(ISNUMBER(NºAsuntos!I18/NºAsuntos!G18),NºAsuntos!I18/NºAsuntos!G18," - ")</f>
        <v>3.3485967503692762</v>
      </c>
      <c r="D18" s="862">
        <f>IF(ISNUMBER('Resol  Asuntos'!D18/NºAsuntos!G18),'Resol  Asuntos'!D18/NºAsuntos!G18," - ")</f>
        <v>0.14623338257016247</v>
      </c>
      <c r="E18" s="861">
        <f>IF(ISNUMBER((NºAsuntos!C18+NºAsuntos!E18)/NºAsuntos!G18),(NºAsuntos!C18+NºAsuntos!E18)/NºAsuntos!G18," - ")</f>
        <v>4.4490398818316104</v>
      </c>
      <c r="G18" s="463"/>
    </row>
    <row r="19" spans="1:7" ht="15.75" customHeight="1" thickTop="1" thickBot="1">
      <c r="A19" s="793" t="str">
        <f>Datos!A19</f>
        <v>TOTAL JURISDICCIONES</v>
      </c>
      <c r="B19" s="808">
        <f>IF(ISNUMBER(NºAsuntos!G19/NºAsuntos!E19),NºAsuntos!G19/NºAsuntos!E19," - ")</f>
        <v>0.9671474358974359</v>
      </c>
      <c r="C19" s="809">
        <f>IF(ISNUMBER(NºAsuntos!I19/NºAsuntos!G19),NºAsuntos!I19/NºAsuntos!G19," - ")</f>
        <v>4.4681027340513673</v>
      </c>
      <c r="D19" s="810">
        <f>IF(ISNUMBER('Resol  Asuntos'!D19/NºAsuntos!G19),'Resol  Asuntos'!D19/NºAsuntos!G19," - ")</f>
        <v>0.19884009942004971</v>
      </c>
      <c r="E19" s="811">
        <f>IF(ISNUMBER((NºAsuntos!C19+NºAsuntos!E19)/NºAsuntos!G19),(NºAsuntos!C19+NºAsuntos!E19)/NºAsuntos!G19," - ")</f>
        <v>5.5260977630488819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yyIvqypSOKIlh6vZrWw2M4IS2RaGtIb8HG3mKNbWYag2MAjlHl3l42HHWpBXNzNifeEgKuOLP6TlHhMN61RwQ==" saltValue="3OpF3+QAHhkgt8du11HH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CALAHORRA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63</v>
      </c>
      <c r="G10" s="333">
        <f>IF(ISNUMBER(Datos!I10),Datos!I10," - ")</f>
        <v>63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52</v>
      </c>
      <c r="AB10" s="334">
        <f>IF(ISNUMBER(Datos!R10),Datos!R10," - ")</f>
        <v>25</v>
      </c>
      <c r="AC10" s="334">
        <f t="shared" ref="AC10:AC12" si="1">IF(ISNUMBER(AA10+AB10),AA10+AB10," - ")</f>
        <v>77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16</v>
      </c>
      <c r="AJ10" s="231" t="str">
        <f>IF(ISNUMBER(Datos!BW10),Datos!BW10," - ")</f>
        <v xml:space="preserve"> - </v>
      </c>
      <c r="AK10" s="232" t="str">
        <f>IF(ISNUMBER(Datos!BX10),Datos!BX10," - ")</f>
        <v xml:space="preserve"> - </v>
      </c>
      <c r="AL10" s="243">
        <f>IF(ISNUMBER(NºAsuntos!G10/NºAsuntos!E10),NºAsuntos!G10/NºAsuntos!E10," - ")</f>
        <v>2.2222222222222223</v>
      </c>
      <c r="AM10" s="260">
        <f>IF(ISNUMBER(((NºAsuntos!I10/NºAsuntos!G10)*11)/factor_trimestre),((NºAsuntos!I10/NºAsuntos!G10)*11)/factor_trimestre," - ")</f>
        <v>7.8000000000000007</v>
      </c>
      <c r="AN10" s="244">
        <f>IF(ISNUMBER('Resol  Asuntos'!D10/NºAsuntos!G10),'Resol  Asuntos'!D10/NºAsuntos!G10," - ")</f>
        <v>0.8</v>
      </c>
      <c r="AO10" s="245">
        <f>IF(ISNUMBER((NºAsuntos!C10+NºAsuntos!E10)/NºAsuntos!G10),(NºAsuntos!C10+NºAsuntos!E10)/NºAsuntos!G10," - ")</f>
        <v>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v>
      </c>
      <c r="Y12" s="334">
        <f t="shared" si="0"/>
        <v>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3054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125</v>
      </c>
      <c r="AJ12" s="229" t="str">
        <f>IF(ISNUMBER(Datos!BW12),Datos!BW12," - ")</f>
        <v xml:space="preserve"> - </v>
      </c>
      <c r="AK12" s="228" t="str">
        <f>IF(ISNUMBER(Datos!BX12),Datos!BX12," - ")</f>
        <v xml:space="preserve"> - </v>
      </c>
      <c r="AL12" s="243">
        <f>IF(ISNUMBER(NºAsuntos!G12/NºAsuntos!E12),NºAsuntos!G12/NºAsuntos!E12," - ")</f>
        <v>0.88235294117647056</v>
      </c>
      <c r="AM12" s="260">
        <f>IF(ISNUMBER(((NºAsuntos!I12/NºAsuntos!G12)*11)/factor_trimestre),((NºAsuntos!I12/NºAsuntos!G12)*11)/factor_trimestre," - ")</f>
        <v>18.08235294117647</v>
      </c>
      <c r="AN12" s="244">
        <f>IF(ISNUMBER('Resol  Asuntos'!D12/NºAsuntos!G12),'Resol  Asuntos'!D12/NºAsuntos!G12," - ")</f>
        <v>0.24509803921568626</v>
      </c>
      <c r="AO12" s="245">
        <f>IF(ISNUMBER((NºAsuntos!C12+NºAsuntos!E12)/NºAsuntos!G12),(NºAsuntos!C12+NºAsuntos!E12)/NºAsuntos!G12," - ")</f>
        <v>7.0313725490196077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63</v>
      </c>
      <c r="G13" s="866">
        <f t="shared" si="3"/>
        <v>63</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28</v>
      </c>
      <c r="Y13" s="868">
        <f t="shared" si="4"/>
        <v>48</v>
      </c>
      <c r="Z13" s="868">
        <f t="shared" si="4"/>
        <v>0</v>
      </c>
      <c r="AA13" s="868">
        <f t="shared" si="4"/>
        <v>52</v>
      </c>
      <c r="AB13" s="868">
        <f t="shared" si="4"/>
        <v>3079</v>
      </c>
      <c r="AC13" s="868">
        <f t="shared" si="4"/>
        <v>77</v>
      </c>
      <c r="AD13" s="868">
        <f t="shared" si="4"/>
        <v>0</v>
      </c>
      <c r="AE13" s="872">
        <f t="shared" si="4"/>
        <v>0</v>
      </c>
      <c r="AF13" s="865">
        <f t="shared" si="4"/>
        <v>0</v>
      </c>
      <c r="AG13" s="873">
        <f t="shared" si="4"/>
        <v>0</v>
      </c>
      <c r="AH13" s="870">
        <f t="shared" si="4"/>
        <v>0</v>
      </c>
      <c r="AI13" s="865">
        <f t="shared" si="4"/>
        <v>141</v>
      </c>
      <c r="AJ13" s="867">
        <f t="shared" si="4"/>
        <v>0</v>
      </c>
      <c r="AK13" s="870">
        <f>SUBTOTAL(9,AK9:AK12)</f>
        <v>0</v>
      </c>
      <c r="AL13" s="874">
        <f>IF(ISNUMBER(NºAsuntos!G13/NºAsuntos!E13),NºAsuntos!G13/NºAsuntos!E13," - ")</f>
        <v>0.90289608177172065</v>
      </c>
      <c r="AM13" s="874">
        <f>IF(ISNUMBER(((NºAsuntos!I13/NºAsuntos!G13)*11)/factor_trimestre),((NºAsuntos!I13/NºAsuntos!G13)*11)/factor_trimestre," - ")</f>
        <v>17.694339622641511</v>
      </c>
      <c r="AN13" s="875">
        <f>IF(ISNUMBER('Resol  Asuntos'!D13/NºAsuntos!G13),'Resol  Asuntos'!D13/NºAsuntos!G13," - ")</f>
        <v>0.2660377358490566</v>
      </c>
      <c r="AO13" s="876">
        <f>IF(ISNUMBER((NºAsuntos!C13+NºAsuntos!E13)/NºAsuntos!G13),(NºAsuntos!C13+NºAsuntos!E13)/NºAsuntos!G13," - ")</f>
        <v>6.9018867924528298</v>
      </c>
      <c r="AP13" s="877" t="str">
        <f t="shared" si="2"/>
        <v xml:space="preserve"> - </v>
      </c>
      <c r="AQ13" s="877">
        <f>IF(ISNUMBER((H13-W13+K13)/(F13)),(H13-W13+K13)/(F13)," - ")</f>
        <v>-0.31746031746031744</v>
      </c>
      <c r="AR13" s="878">
        <f>IF(ISNUMBER((Datos!P13-Datos!Q13)/(Datos!R13-Datos!P13+Datos!Q13)),(Datos!P13-Datos!Q13)/(Datos!R13-Datos!P13+Datos!Q13)," - ")</f>
        <v>2.6675558519506502E-2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2088</v>
      </c>
      <c r="G16" s="333">
        <f>IF(ISNUMBER(IF(D_I="SI",Datos!I16,Datos!I16+Datos!AC16)),IF(D_I="SI",Datos!I16,Datos!I16+Datos!AC16)," - ")</f>
        <v>2121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593</v>
      </c>
      <c r="X16" s="226">
        <f>IF(ISNUMBER(Datos!Q16),Datos!Q16," - ")</f>
        <v>12</v>
      </c>
      <c r="Y16" s="334">
        <f t="shared" ref="Y16:Y17" si="7">SUM(W16:X16)</f>
        <v>605</v>
      </c>
      <c r="Z16" s="335" t="str">
        <f>IF(ISNUMBER(Datos!CC16),Datos!CC16," - ")</f>
        <v xml:space="preserve"> - </v>
      </c>
      <c r="AA16" s="332">
        <f>IF(ISNUMBER(IF(D_I="SI",Datos!L16,Datos!L16+Datos!AF16)),IF(D_I="SI",Datos!L16,Datos!L16+Datos!AF16)," - ")</f>
        <v>2099</v>
      </c>
      <c r="AB16" s="334">
        <f>IF(ISNUMBER(Datos!R16),Datos!R16," - ")</f>
        <v>171</v>
      </c>
      <c r="AC16" s="334">
        <f t="shared" si="6"/>
        <v>2270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89</v>
      </c>
      <c r="AJ16" s="231" t="str">
        <f>IF(ISNUMBER(Datos!BW16),Datos!BW16," - ")</f>
        <v xml:space="preserve"> - </v>
      </c>
      <c r="AK16" s="232" t="str">
        <f>IF(ISNUMBER(Datos!BX16),Datos!BX16," - ")</f>
        <v xml:space="preserve"> - </v>
      </c>
      <c r="AL16" s="243">
        <f>IF(ISNUMBER(NºAsuntos!G16/NºAsuntos!E16),NºAsuntos!G16/NºAsuntos!E16," - ")</f>
        <v>0.98178807947019864</v>
      </c>
      <c r="AM16" s="260">
        <f>IF(ISNUMBER(((NºAsuntos!I16/NºAsuntos!G16)*11)/factor_trimestre),((NºAsuntos!I16/NºAsuntos!G16)*11)/factor_trimestre," - ")</f>
        <v>10.618887015177066</v>
      </c>
      <c r="AN16" s="244">
        <f>IF(ISNUMBER('Resol  Asuntos'!D16/NºAsuntos!G16),'Resol  Asuntos'!D16/NºAsuntos!G16," - ")</f>
        <v>0.15008431703204048</v>
      </c>
      <c r="AO16" s="245">
        <f>IF(ISNUMBER((NºAsuntos!C16+NºAsuntos!E16)/NºAsuntos!G16),(NºAsuntos!C16+NºAsuntos!E16)/NºAsuntos!G16," - ")</f>
        <v>4.5952782462057336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84</v>
      </c>
      <c r="X17" s="226">
        <f>IF(ISNUMBER(Datos!Q17),Datos!Q17," - ")</f>
        <v>5</v>
      </c>
      <c r="Y17" s="334">
        <f t="shared" si="7"/>
        <v>89</v>
      </c>
      <c r="Z17" s="335" t="str">
        <f>IF(ISNUMBER(Datos!CC17),Datos!CC17," - ")</f>
        <v xml:space="preserve"> - </v>
      </c>
      <c r="AA17" s="332">
        <f>IF(ISNUMBER(Datos!L17),Datos!L17,"-")</f>
        <v>168</v>
      </c>
      <c r="AB17" s="334">
        <f>IF(ISNUMBER(Datos!R17),Datos!R17," - ")</f>
        <v>2</v>
      </c>
      <c r="AC17" s="334">
        <f t="shared" si="6"/>
        <v>170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1.4736842105263157</v>
      </c>
      <c r="AM17" s="260">
        <f>IF(ISNUMBER(((NºAsuntos!I17/NºAsuntos!G17)*11)/factor_trimestre),((NºAsuntos!I17/NºAsuntos!G17)*11)/factor_trimestre," - ")</f>
        <v>6</v>
      </c>
      <c r="AN17" s="244">
        <f>IF(ISNUMBER('Resol  Asuntos'!D17/NºAsuntos!G17),'Resol  Asuntos'!D17/NºAsuntos!G17," - ")</f>
        <v>0.11904761904761904</v>
      </c>
      <c r="AO17" s="245">
        <f>IF(ISNUMBER((NºAsuntos!C17+NºAsuntos!E17)/NºAsuntos!G17),(NºAsuntos!C17+NºAsuntos!E17)/NºAsuntos!G17," - ")</f>
        <v>3.4166666666666665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2088</v>
      </c>
      <c r="G18" s="866">
        <f>SUBTOTAL(9,G15:G17)</f>
        <v>2351</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677</v>
      </c>
      <c r="X18" s="867">
        <f t="shared" si="11"/>
        <v>17</v>
      </c>
      <c r="Y18" s="868">
        <f t="shared" si="11"/>
        <v>694</v>
      </c>
      <c r="Z18" s="868">
        <f t="shared" si="11"/>
        <v>0</v>
      </c>
      <c r="AA18" s="868">
        <f t="shared" si="11"/>
        <v>2267</v>
      </c>
      <c r="AB18" s="868">
        <f t="shared" si="11"/>
        <v>173</v>
      </c>
      <c r="AC18" s="868">
        <f t="shared" si="11"/>
        <v>2440</v>
      </c>
      <c r="AD18" s="868">
        <f t="shared" si="11"/>
        <v>0</v>
      </c>
      <c r="AE18" s="872">
        <f t="shared" si="11"/>
        <v>0</v>
      </c>
      <c r="AF18" s="865">
        <f t="shared" si="11"/>
        <v>0</v>
      </c>
      <c r="AG18" s="873">
        <f t="shared" si="11"/>
        <v>0</v>
      </c>
      <c r="AH18" s="870">
        <f t="shared" si="11"/>
        <v>0</v>
      </c>
      <c r="AI18" s="865">
        <f t="shared" si="11"/>
        <v>99</v>
      </c>
      <c r="AJ18" s="867">
        <f t="shared" si="11"/>
        <v>0</v>
      </c>
      <c r="AK18" s="870">
        <f t="shared" si="11"/>
        <v>0</v>
      </c>
      <c r="AL18" s="874">
        <f>IF(ISNUMBER(NºAsuntos!G18/NºAsuntos!E18),NºAsuntos!G18/NºAsuntos!E18," - ")</f>
        <v>1.0242057488653555</v>
      </c>
      <c r="AM18" s="874">
        <f>IF(ISNUMBER(((NºAsuntos!I18/NºAsuntos!G18)*11)/factor_trimestre),((NºAsuntos!I18/NºAsuntos!G18)*11)/factor_trimestre," - ")</f>
        <v>10.045790251107828</v>
      </c>
      <c r="AN18" s="875">
        <f>IF(ISNUMBER('Resol  Asuntos'!D18/NºAsuntos!G18),'Resol  Asuntos'!D18/NºAsuntos!G18," - ")</f>
        <v>0.14623338257016247</v>
      </c>
      <c r="AO18" s="876">
        <f>IF(ISNUMBER((NºAsuntos!C18+NºAsuntos!E18)/NºAsuntos!G18),(NºAsuntos!C18+NºAsuntos!E18)/NºAsuntos!G18," - ")</f>
        <v>4.4490398818316104</v>
      </c>
      <c r="AP18" s="877" t="str">
        <f t="shared" si="2"/>
        <v xml:space="preserve"> - </v>
      </c>
      <c r="AQ18" s="877">
        <f>IF(ISNUMBER((H18-W18+K18)/(F18)),(H18-W18+K18)/(F18)," - ")</f>
        <v>-0.3242337164750958</v>
      </c>
      <c r="AR18" s="878">
        <f>IF(ISNUMBER((Datos!P18-Datos!Q18)/(Datos!R18-Datos!P18+Datos!Q18)),(Datos!P18-Datos!Q18)/(Datos!R18-Datos!P18+Datos!Q18)," - ")</f>
        <v>-4.4198895027624308E-2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2151</v>
      </c>
      <c r="G19" s="821">
        <f t="shared" si="13"/>
        <v>2414</v>
      </c>
      <c r="H19" s="820">
        <f t="shared" si="13"/>
        <v>0</v>
      </c>
      <c r="I19" s="822">
        <f t="shared" si="13"/>
        <v>0</v>
      </c>
      <c r="J19" s="822">
        <f t="shared" si="13"/>
        <v>0</v>
      </c>
      <c r="K19" s="881">
        <f t="shared" si="13"/>
        <v>0</v>
      </c>
      <c r="L19" s="822">
        <f t="shared" si="13"/>
        <v>117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697</v>
      </c>
      <c r="X19" s="821">
        <f t="shared" si="14"/>
        <v>45</v>
      </c>
      <c r="Y19" s="828">
        <f t="shared" si="14"/>
        <v>742</v>
      </c>
      <c r="Z19" s="828">
        <f t="shared" si="14"/>
        <v>0</v>
      </c>
      <c r="AA19" s="828">
        <f t="shared" si="14"/>
        <v>2319</v>
      </c>
      <c r="AB19" s="828">
        <f t="shared" si="14"/>
        <v>3252</v>
      </c>
      <c r="AC19" s="828">
        <f t="shared" si="14"/>
        <v>2517</v>
      </c>
      <c r="AD19" s="828">
        <f t="shared" si="14"/>
        <v>0</v>
      </c>
      <c r="AE19" s="830">
        <f t="shared" si="14"/>
        <v>0</v>
      </c>
      <c r="AF19" s="831">
        <f t="shared" si="14"/>
        <v>0</v>
      </c>
      <c r="AG19" s="832">
        <f t="shared" si="14"/>
        <v>0</v>
      </c>
      <c r="AH19" s="830">
        <f t="shared" si="14"/>
        <v>0</v>
      </c>
      <c r="AI19" s="820">
        <f t="shared" si="14"/>
        <v>240</v>
      </c>
      <c r="AJ19" s="820">
        <f t="shared" si="14"/>
        <v>0</v>
      </c>
      <c r="AK19" s="830">
        <f t="shared" si="14"/>
        <v>0</v>
      </c>
      <c r="AL19" s="884">
        <f>IF(ISNUMBER(NºAsuntos!G19/NºAsuntos!E19),NºAsuntos!G19/NºAsuntos!E19," - ")</f>
        <v>0.9671474358974359</v>
      </c>
      <c r="AM19" s="885">
        <f>IF(ISNUMBER(((NºAsuntos!I19/NºAsuntos!G19)*11)/factor_trimestre),((NºAsuntos!I19/NºAsuntos!G19)*11)/factor_trimestre," - ")</f>
        <v>13.404308202154102</v>
      </c>
      <c r="AN19" s="885">
        <f>IF(ISNUMBER('Resol  Asuntos'!D19/NºAsuntos!G19),'Resol  Asuntos'!D19/NºAsuntos!G19," - ")</f>
        <v>0.19884009942004971</v>
      </c>
      <c r="AO19" s="886">
        <f>IF(ISNUMBER((NºAsuntos!C19+NºAsuntos!E19)/NºAsuntos!G19),(NºAsuntos!C19+NºAsuntos!E19)/NºAsuntos!G19," - ")</f>
        <v>5.5260977630488819</v>
      </c>
      <c r="AP19" s="887" t="str">
        <f t="shared" si="2"/>
        <v xml:space="preserve"> - </v>
      </c>
      <c r="AQ19" s="888">
        <f>IF(OR(ISNUMBER(FIND("01",Criterios!A8,1)),ISNUMBER(FIND("02",Criterios!A8,1)),ISNUMBER(FIND("03",Criterios!A8,1)),ISNUMBER(FIND("04",Criterios!A8,1))),(I19-W19+K19)/(F19-K19),(H19-W19+K19)/(F19-K19))</f>
        <v>-0.32403533240353322</v>
      </c>
      <c r="AR19" s="889">
        <f>IF(ISNUMBER((Datos!P19-Datos!Q19)/(Datos!R19-Datos!P19+Datos!Q19)),(Datos!P19-Datos!Q19)/(Datos!R19-Datos!P19+Datos!Q19)," - ")</f>
        <v>2.2641509433962263E-2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1169.1342951089921</v>
      </c>
      <c r="G21" s="253">
        <f>IF(ISNUMBER(STDEV(G8:G18)),STDEV(G8:G18),"-")</f>
        <v>1164.5560527514338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327.5617499037395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55.107168317742477</v>
      </c>
      <c r="AJ21" s="252">
        <f t="shared" si="18"/>
        <v>0</v>
      </c>
      <c r="AK21" s="254">
        <f t="shared" si="18"/>
        <v>0</v>
      </c>
      <c r="AL21" s="249">
        <f t="shared" si="18"/>
        <v>0.52417350562743481</v>
      </c>
      <c r="AM21" s="250">
        <f t="shared" si="18"/>
        <v>5.0650067425974701</v>
      </c>
      <c r="AN21" s="250">
        <f t="shared" si="18"/>
        <v>0.25773240436077399</v>
      </c>
      <c r="AO21" s="251">
        <f t="shared" si="18"/>
        <v>1.5923531942886562</v>
      </c>
      <c r="AP21" s="291" t="str">
        <f t="shared" si="18"/>
        <v>-</v>
      </c>
      <c r="AQ21" s="292">
        <f t="shared" si="18"/>
        <v>4.7895163750320572E-3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MnzCVEVoiPE8Snq8efxBGFnc1IwszNnCNd/DEgWDe3oamoeOkJUpnK7ZFkqIaGrHjwgy2EveMhJfekq8DkbNYg==" saltValue="i3I/QPMnRU3pZnDx9ZLTg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CALAHORRA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0.65789473684210531</v>
      </c>
      <c r="E10" s="348">
        <f>IF(ISNUMBER((Datos!J10-Datos!T10)/Datos!T10),(Datos!J10-Datos!T10)/Datos!T10," - ")</f>
        <v>-0.1</v>
      </c>
      <c r="F10" s="348">
        <f>IF(ISNUMBER((Datos!K10-Datos!U10)/Datos!U10),(Datos!K10-Datos!U10)/Datos!U10," - ")</f>
        <v>19</v>
      </c>
      <c r="G10" s="349">
        <f>IF(ISNUMBER((Datos!L10-Datos!V10)/Datos!V10),(Datos!L10-Datos!V10)/Datos!V10," - ")</f>
        <v>0.10638297872340426</v>
      </c>
      <c r="H10" s="230" t="str">
        <f>IF(ISNUMBER((Datos!M10-Datos!W10)/Datos!W10),(Datos!M10-Datos!W10)/Datos!W10," - ")</f>
        <v xml:space="preserve"> - </v>
      </c>
      <c r="I10" s="350">
        <f>IF(ISNUMBER((Tasas!C10-Datos!BE10)/Datos!BE10),(Tasas!C10-Datos!BE10)/Datos!BE10," - ")</f>
        <v>-0.94468085106382971</v>
      </c>
      <c r="J10" s="349" t="str">
        <f>IF(ISNUMBER((Tasas!D10-Datos!BF10)/Datos!BF10),(Tasas!D10-Datos!BF10)/Datos!BF10," - ")</f>
        <v xml:space="preserve"> - </v>
      </c>
      <c r="K10" s="351">
        <f>IF(ISNUMBER((Tasas!E10-Datos!BG10)/Datos!BG10),(Tasas!E10-Datos!BG10)/Datos!BG10," - ")</f>
        <v>-0.92499999999999993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2.125</v>
      </c>
      <c r="I12" s="350">
        <f>IF(ISNUMBER((Tasas!C12-Datos!BE12)/Datos!BE12),(Tasas!C12-Datos!BE12)/Datos!BE12," - ")</f>
        <v>-0.61925994736027246</v>
      </c>
      <c r="J12" s="349">
        <f>IF(ISNUMBER((Tasas!D12-Datos!BF12)/Datos!BF12),(Tasas!D12-Datos!BF12)/Datos!BF12," - ")</f>
        <v>-0.18699186991869918</v>
      </c>
      <c r="K12" s="351">
        <f>IF(ISNUMBER((Tasas!E12-Datos!BG12)/Datos!BG12),(Tasas!E12-Datos!BG12)/Datos!BG12," - ")</f>
        <v>-0.58223387214212907</v>
      </c>
      <c r="M12" t="e">
        <f>IF(Monitorios="SI",Datos!CE12,0)</f>
        <v>#REF!</v>
      </c>
      <c r="N12" t="e">
        <f>IF(Monitorios="SI",Datos!CF12,0)</f>
        <v>#REF!</v>
      </c>
      <c r="O12" t="e">
        <f>IF(Monitorios="SI",Datos!CG12,0)</f>
        <v>#REF!</v>
      </c>
      <c r="P12" t="e">
        <f>IF(Monitorios="SI",Datos!CH12,0)</f>
        <v>#REF!</v>
      </c>
      <c r="Q12">
        <f>IF(J_V="SI",0,Datos!AG12)</f>
        <v>47</v>
      </c>
      <c r="R12">
        <f>IF(J_V="SI",0,Datos!AH12)</f>
        <v>19</v>
      </c>
      <c r="S12">
        <f>IF(J_V="SI",0,Datos!AI12)</f>
        <v>12</v>
      </c>
      <c r="T12">
        <f>IF(J_V="SI",0,Datos!AJ12)</f>
        <v>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2.5249999999999999</v>
      </c>
      <c r="I13" s="357">
        <f>IF(ISNUMBER((Tasas!C13-Datos!BE13)/Datos!BE13),(Tasas!C13-Datos!BE13)/Datos!BE13," - ")</f>
        <v>-0.63270840480274448</v>
      </c>
      <c r="J13" s="355">
        <f>IF(ISNUMBER((Tasas!D13-Datos!BF13)/Datos!BF13),(Tasas!D13-Datos!BF13)/Datos!BF13," - ")</f>
        <v>-0.11104463874827436</v>
      </c>
      <c r="K13" s="358">
        <f>IF(ISNUMBER((Tasas!E13-Datos!BG13)/Datos!BG13),(Tasas!E13-Datos!BG13)/Datos!BG13," - ")</f>
        <v>-0.59539645247495177</v>
      </c>
      <c r="M13" t="e">
        <f>IF(Monitorios="SI",Datos!CE13,0)</f>
        <v>#REF!</v>
      </c>
      <c r="N13" t="e">
        <f>IF(Monitorios="SI",Datos!CF13,0)</f>
        <v>#REF!</v>
      </c>
      <c r="O13" t="e">
        <f>IF(Monitorios="SI",Datos!CG13,0)</f>
        <v>#REF!</v>
      </c>
      <c r="P13" t="e">
        <f>IF(Monitorios="SI",Datos!CH13,0)</f>
        <v>#REF!</v>
      </c>
      <c r="Q13">
        <f>IF(J_V="SI",0,Datos!AG13)</f>
        <v>47</v>
      </c>
      <c r="R13">
        <f>IF(J_V="SI",0,Datos!AH13)</f>
        <v>19</v>
      </c>
      <c r="S13">
        <f>IF(J_V="SI",0,Datos!AI13)</f>
        <v>12</v>
      </c>
      <c r="T13">
        <f>IF(J_V="SI",0,Datos!AJ13)</f>
        <v>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0.79441624365482233</v>
      </c>
      <c r="E16" s="348">
        <f>IF(ISNUMBER(
   IF(D_I="SI",(Datos!J16-Datos!T16)/Datos!T16,(Datos!J16+Datos!AD16-(Datos!T16+Datos!AL16))/(Datos!T16+Datos!AL16))
     ),IF(D_I="SI",(Datos!J16-Datos!T16)/Datos!T16,(Datos!J16+Datos!AD16-(Datos!T16+Datos!AL16))/(Datos!T16+Datos!AL16))," - ")</f>
        <v>2.5466893039049237E-2</v>
      </c>
      <c r="F16" s="348">
        <f>IF(ISNUMBER(
   IF(D_I="SI",(Datos!K16-Datos!U16)/Datos!U16,(Datos!K16+Datos!AE16-(Datos!U16+Datos!AM16))/(Datos!U16+Datos!AM16))
     ),IF(D_I="SI",(Datos!K16-Datos!U16)/Datos!U16,(Datos!K16+Datos!AE16-(Datos!U16+Datos!AM16))/(Datos!U16+Datos!AM16))," - ")</f>
        <v>0.52442159383033415</v>
      </c>
      <c r="G16" s="349">
        <f>IF(ISNUMBER(
   IF(D_I="SI",(Datos!L16-Datos!V16)/Datos!V16,(Datos!L16+Datos!AF16-(Datos!V16+Datos!AN16))/(Datos!V16+Datos!AN16))
     ),IF(D_I="SI",(Datos!L16-Datos!V16)/Datos!V16,(Datos!L16+Datos!AF16-(Datos!V16+Datos!AN16))/(Datos!V16+Datos!AN16))," - ")</f>
        <v>0.51224783861671475</v>
      </c>
      <c r="H16" s="230">
        <f>IF(ISNUMBER((Datos!M16-Datos!W16)/Datos!W16),(Datos!M16-Datos!W16)/Datos!W16," - ")</f>
        <v>0.45901639344262296</v>
      </c>
      <c r="I16" s="350">
        <f>IF(ISNUMBER((Tasas!C16-Datos!BE16)/Datos!BE16),(Tasas!C16-Datos!BE16)/Datos!BE16," - ")</f>
        <v>-7.9858191873491309E-3</v>
      </c>
      <c r="J16" s="349">
        <f>IF(ISNUMBER((Tasas!D16-Datos!BF16)/Datos!BF16),(Tasas!D16-Datos!BF16)/Datos!BF16," - ")</f>
        <v>-4.2904929090758243E-2</v>
      </c>
      <c r="K16" s="351">
        <f>IF(ISNUMBER((Tasas!E16-Datos!BG16)/Datos!BG16),(Tasas!E16-Datos!BG16)/Datos!BG16," - ")</f>
        <v>9.3524775686224908E-3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0.51315789473684215</v>
      </c>
      <c r="E17" s="348">
        <f>IF(ISNUMBER(
   IF(D_I="SI",(Datos!J17-Datos!T17)/Datos!T17,(Datos!J17+Datos!AD17-(Datos!T17+Datos!AL17))/(Datos!T17+Datos!AL17))
     ),IF(D_I="SI",(Datos!J17-Datos!T17)/Datos!T17,(Datos!J17+Datos!AD17-(Datos!T17+Datos!AL17))/(Datos!T17+Datos!AL17))," - ")</f>
        <v>-0.47706422018348627</v>
      </c>
      <c r="F17" s="348">
        <f>IF(ISNUMBER(
   IF(D_I="SI",(Datos!K17-Datos!U17)/Datos!U17,(Datos!K17+Datos!AE17-(Datos!U17+Datos!AM17))/(Datos!U17+Datos!AM17))
     ),IF(D_I="SI",(Datos!K17-Datos!U17)/Datos!U17,(Datos!K17+Datos!AE17-(Datos!U17+Datos!AM17))/(Datos!U17+Datos!AM17))," - ")</f>
        <v>2.4390243902439025E-2</v>
      </c>
      <c r="G17" s="349">
        <f>IF(ISNUMBER(
   IF(D_I="SI",(Datos!L17-Datos!V17)/Datos!V17,(Datos!L17+Datos!AF17-(Datos!V17+Datos!AN17))/(Datos!V17+Datos!AN17))
     ),IF(D_I="SI",(Datos!L17-Datos!V17)/Datos!V17,(Datos!L17+Datos!AF17-(Datos!V17+Datos!AN17))/(Datos!V17+Datos!AN17))," - ")</f>
        <v>-6.1452513966480445E-2</v>
      </c>
      <c r="H17" s="230">
        <f>IF(ISNUMBER((Datos!M17-Datos!W17)/Datos!W17),(Datos!M17-Datos!W17)/Datos!W17," - ")</f>
        <v>-0.16666666666666666</v>
      </c>
      <c r="I17" s="350">
        <f>IF(ISNUMBER((Tasas!C17-Datos!BE17)/Datos!BE17),(Tasas!C17-Datos!BE17)/Datos!BE17," - ")</f>
        <v>-8.379888268156431E-2</v>
      </c>
      <c r="J17" s="349">
        <f>IF(ISNUMBER((Tasas!D17-Datos!BF17)/Datos!BF17),(Tasas!D17-Datos!BF17)/Datos!BF17," - ")</f>
        <v>-0.18650793650793651</v>
      </c>
      <c r="K17" s="351">
        <f>IF(ISNUMBER((Tasas!E17-Datos!BG17)/Datos!BG17),(Tasas!E17-Datos!BG17)/Datos!BG17," - ")</f>
        <v>7.3435504469987131E-2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0.76236881559220393</v>
      </c>
      <c r="E18" s="354">
        <f>IF(ISNUMBER(
   IF(D_I="SI",(Datos!J18-Datos!T18)/Datos!T18,(Datos!J18+Datos!AD18-(Datos!T18+Datos!AL18))/(Datos!T18+Datos!AL18))
     ),IF(D_I="SI",(Datos!J18-Datos!T18)/Datos!T18,(Datos!J18+Datos!AD18-(Datos!T18+Datos!AL18))/(Datos!T18+Datos!AL18))," - ")</f>
        <v>-5.300859598853868E-2</v>
      </c>
      <c r="F18" s="354">
        <f>IF(ISNUMBER(
   IF(D_I="SI",(Datos!K18-Datos!U18)/Datos!U18,(Datos!K18+Datos!AE18-(Datos!U18+Datos!AM18))/(Datos!U18+Datos!AM18))
     ),IF(D_I="SI",(Datos!K18-Datos!U18)/Datos!U18,(Datos!K18+Datos!AE18-(Datos!U18+Datos!AM18))/(Datos!U18+Datos!AM18))," - ")</f>
        <v>0.43736730360934184</v>
      </c>
      <c r="G18" s="355">
        <f>IF(ISNUMBER(
   IF(D_I="SI",(Datos!L18-Datos!V18)/Datos!V18,(Datos!L18+Datos!AF18-(Datos!V18+Datos!AN18))/(Datos!V18+Datos!AN18))
     ),IF(D_I="SI",(Datos!L18-Datos!V18)/Datos!V18,(Datos!L18+Datos!AF18-(Datos!V18+Datos!AN18))/(Datos!V18+Datos!AN18))," - ")</f>
        <v>0.44671346522016592</v>
      </c>
      <c r="H18" s="356">
        <f>IF(ISNUMBER((Datos!M18-Datos!W18)/Datos!W18),(Datos!M18-Datos!W18)/Datos!W18," - ")</f>
        <v>0.35616438356164382</v>
      </c>
      <c r="I18" s="357">
        <f>IF(ISNUMBER((Tasas!C18-Datos!BE18)/Datos!BE18),(Tasas!C18-Datos!BE18)/Datos!BE18," - ")</f>
        <v>6.5022778710460199E-3</v>
      </c>
      <c r="J18" s="355">
        <f>IF(ISNUMBER((Tasas!D18-Datos!BF18)/Datos!BF18),(Tasas!D18-Datos!BF18)/Datos!BF18," - ")</f>
        <v>-5.6494202869225678E-2</v>
      </c>
      <c r="K18" s="358">
        <f>IF(ISNUMBER((Tasas!E18-Datos!BG18)/Datos!BG18),(Tasas!E18-Datos!BG18)/Datos!BG18," - ")</f>
        <v>3.1248909617464821E-2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0.72730168843580756</v>
      </c>
      <c r="E19" s="363">
        <f>IF(ISNUMBER(
   IF(J_V="SI",(Datos!J19-Datos!T19)/Datos!T19,(Datos!J19+Datos!Z19-(Datos!T19+Datos!AH19))/(Datos!T19+Datos!AH19))
     ),IF(J_V="SI",(Datos!J19-Datos!T19)/Datos!T19,(Datos!J19+Datos!Z19-(Datos!T19+Datos!AH19))/(Datos!T19+Datos!AH19))," - ")</f>
        <v>1.4634146341463415E-2</v>
      </c>
      <c r="F19" s="363">
        <f>IF(ISNUMBER(
   IF(J_V="SI",(Datos!K19-Datos!U19)/Datos!U19,(Datos!K19+Datos!AA19-(Datos!U19+Datos!AI19))/(Datos!U19+Datos!AI19))
     ),IF(J_V="SI",(Datos!K19-Datos!U19)/Datos!U19,(Datos!K19+Datos!AA19-(Datos!U19+Datos!AI19))/(Datos!U19+Datos!AI19))," - ")</f>
        <v>0.98519736842105265</v>
      </c>
      <c r="G19" s="364">
        <f>IF(ISNUMBER(
   IF(J_V="SI",(Datos!L19-Datos!V19)/Datos!V19,(Datos!L19+Datos!AB19-(Datos!V19+Datos!AJ19))/(Datos!V19+Datos!AJ19))
     ),IF(J_V="SI",(Datos!L19-Datos!V19)/Datos!V19,(Datos!L19+Datos!AB19-(Datos!V19+Datos!AJ19))/(Datos!V19+Datos!AJ19))," - ")</f>
        <v>0.4316432174143881</v>
      </c>
      <c r="H19" s="365">
        <f>IF(ISNUMBER((Datos!M19-Datos!W19)/Datos!W19),(Datos!M19-Datos!W19)/Datos!W19," - ")</f>
        <v>1.1238938053097345</v>
      </c>
      <c r="I19" s="362">
        <f>IF(ISNUMBER((Tasas!C19-Datos!BE19)/Datos!BE19),(Tasas!C19-Datos!BE19)/Datos!BE19," - ")</f>
        <v>-0.2788408647987175</v>
      </c>
      <c r="J19" s="363">
        <f>IF(ISNUMBER((Tasas!D19-Datos!BF19)/Datos!BF19),(Tasas!D19-Datos!BF19)/Datos!BF19," - ")</f>
        <v>6.0480530240265118E-2</v>
      </c>
      <c r="K19" s="364">
        <f>IF(ISNUMBER((Tasas!E19-Datos!BG19)/Datos!BG19),(Tasas!E19-Datos!BG19)/Datos!BG19," - ")</f>
        <v>-0.23097563746081021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0.12673498858207152</v>
      </c>
      <c r="E21" s="278">
        <f t="shared" si="1"/>
        <v>0.22335447424601917</v>
      </c>
      <c r="F21" s="278">
        <f t="shared" si="1"/>
        <v>9.3381844038850339</v>
      </c>
      <c r="G21" s="279">
        <f t="shared" si="1"/>
        <v>0.27391899474648207</v>
      </c>
      <c r="H21" s="285">
        <f t="shared" si="1"/>
        <v>1.187615945903322</v>
      </c>
      <c r="I21" s="277">
        <f t="shared" si="1"/>
        <v>0.40385253877842786</v>
      </c>
      <c r="J21" s="278">
        <f t="shared" si="1"/>
        <v>6.876861426837097E-2</v>
      </c>
      <c r="K21" s="279">
        <f t="shared" si="1"/>
        <v>0.42343617710169301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TJfslNtOSmStU2SMNn1BIyytH+DAa3juqT1h9KdPOJ9CnPNXBNKHyejDjRi7zD+NxA5Vhd4VidBTChq5pgOmw==" saltValue="pWt6ryZZxkQNjjjGFJvlQ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2024-05-29T16:45:21Z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